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80EEA81C-8C81-4787-BC7E-B890711C3635}"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ListRaw">Neck!$X$2:$X$38</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285" i="30" l="1"/>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AF237" i="30"/>
  <c r="AF239" i="30"/>
  <c r="AF241" i="30"/>
  <c r="AF242" i="30"/>
  <c r="AF243" i="30"/>
  <c r="AF245" i="30"/>
  <c r="AF248" i="30"/>
  <c r="AF251" i="30"/>
  <c r="AF252" i="30"/>
  <c r="AF254" i="30"/>
  <c r="AF255" i="30"/>
  <c r="AF257" i="30"/>
  <c r="AF258" i="30"/>
  <c r="AF264" i="30"/>
  <c r="AF265"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C3" i="15"/>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7" i="30" l="1"/>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AL8" i="30" l="1"/>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8" i="16"/>
  <c r="V41" i="25"/>
  <c r="V45" i="24"/>
  <c r="V46" i="24" s="1"/>
  <c r="V47" i="24" s="1"/>
  <c r="V6" i="22"/>
  <c r="V7" i="22" s="1"/>
  <c r="V5" i="23"/>
  <c r="V5" i="19"/>
  <c r="V7" i="18"/>
  <c r="V8" i="18" s="1"/>
  <c r="AA6" i="15"/>
  <c r="AA7" i="15" s="1"/>
  <c r="AE289" i="30"/>
  <c r="AE290"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1" i="30"/>
  <c r="AE292"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16"/>
  <c r="V10" i="24"/>
  <c r="V11" i="24" s="1"/>
  <c r="V12" i="24" s="1"/>
  <c r="V8" i="25"/>
  <c r="V9" i="22"/>
  <c r="V10" i="22" s="1"/>
  <c r="V11" i="22" s="1"/>
  <c r="V7" i="19"/>
  <c r="V8" i="19" s="1"/>
  <c r="AA9" i="15"/>
  <c r="AA10" i="15" s="1"/>
  <c r="AE293"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AE232" i="30" l="1"/>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AE233" i="30" l="1"/>
  <c r="AE234" i="30" s="1"/>
  <c r="AE235" i="30" s="1"/>
  <c r="AE236" i="30" s="1"/>
  <c r="AE238" i="30" s="1"/>
  <c r="AE240" i="30" s="1"/>
  <c r="AE244" i="30" s="1"/>
  <c r="AE246" i="30" s="1"/>
  <c r="AE247" i="30" s="1"/>
  <c r="AE249" i="30" s="1"/>
  <c r="AE250"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53" i="30" l="1"/>
  <c r="AE254" i="30" s="1"/>
  <c r="AE255" i="30" s="1"/>
  <c r="AE256" i="30" s="1"/>
  <c r="AE257" i="30" s="1"/>
  <c r="AE258" i="30" s="1"/>
  <c r="AE259" i="30" s="1"/>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8"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F240" i="30" l="1"/>
  <c r="AF244" i="30" s="1"/>
  <c r="AF246" i="30" s="1"/>
  <c r="AF247" i="30" s="1"/>
  <c r="AF249" i="30" s="1"/>
  <c r="AF250" i="30" s="1"/>
  <c r="AF253" i="30" s="1"/>
  <c r="AF256" i="30" s="1"/>
  <c r="AF259" i="30" s="1"/>
  <c r="AF260" i="30" s="1"/>
  <c r="AF261" i="30" s="1"/>
  <c r="AF262" i="30" s="1"/>
  <c r="AF263" i="30" s="1"/>
  <c r="AF266" i="30" s="1"/>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8" i="16"/>
  <c r="X21"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c r="U55" i="70" l="1"/>
  <c r="Z55" i="70" s="1"/>
  <c r="AA54" i="70"/>
  <c r="U56" i="70" l="1"/>
  <c r="Z56" i="70" s="1"/>
  <c r="AA55" i="70"/>
  <c r="Y55" i="70"/>
  <c r="AA56" i="70"/>
  <c r="Y56" i="70"/>
  <c r="U57" i="70"/>
  <c r="Z57" i="70" s="1"/>
  <c r="AA57" i="70" l="1"/>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9" authorId="0" shapeId="0" xr:uid="{00000000-0006-0000-0100-000001000000}">
      <text>
        <r>
          <rPr>
            <b/>
            <sz val="8"/>
            <color indexed="81"/>
            <rFont val="Tahoma"/>
            <family val="2"/>
          </rPr>
          <t>Author:</t>
        </r>
        <r>
          <rPr>
            <sz val="8"/>
            <color indexed="81"/>
            <rFont val="Tahoma"/>
            <family val="2"/>
          </rPr>
          <t xml:space="preserve">
fixed
a small Mongoose bug</t>
        </r>
      </text>
    </comment>
    <comment ref="A580"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1"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2"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3"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4"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5"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6"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7"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8"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89"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0"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1"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2"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3"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4"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5"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6"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7"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8"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599"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0"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1"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2"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3"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4"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5"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6"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7"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8"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09"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0"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1"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2"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3"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4"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5"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6"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7"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8"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19"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0"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1"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2"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3"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4"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5"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6"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7"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8"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29"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0"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1"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2"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3"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4"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5"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6"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<sst xmlns="http://schemas.openxmlformats.org/spreadsheetml/2006/main" count="8533" uniqueCount="3254">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</sst>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80">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3">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9" t="s">
        <v>3032</v>
      </c>
      <c r="C2" s="1399"/>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7" t="s">
        <v>934</v>
      </c>
      <c r="C10" s="1398"/>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3244</v>
      </c>
      <c r="C12" s="1386" t="s">
        <v>1897</v>
      </c>
    </row>
    <row r="13" spans="1:256">
      <c r="B13" s="1395" t="s">
        <v>2326</v>
      </c>
      <c r="C13" s="1387" t="s">
        <v>3228</v>
      </c>
    </row>
    <row r="14" spans="1:256" ht="22.5">
      <c r="B14" s="1395"/>
      <c r="C14" s="1387" t="s">
        <v>3229</v>
      </c>
    </row>
    <row r="15" spans="1:256" ht="22.5">
      <c r="B15" s="1395"/>
      <c r="C15" s="1387" t="s">
        <v>3230</v>
      </c>
    </row>
    <row r="16" spans="1:256">
      <c r="B16" s="1395"/>
      <c r="C16" s="1387" t="s">
        <v>3231</v>
      </c>
    </row>
    <row r="17" spans="2:3">
      <c r="B17" s="1395"/>
      <c r="C17" s="1387" t="s">
        <v>1899</v>
      </c>
    </row>
    <row r="18" spans="2:3" ht="35.25" customHeight="1">
      <c r="B18" s="1395"/>
      <c r="C18" s="1388" t="s">
        <v>3232</v>
      </c>
    </row>
    <row r="19" spans="2:3" ht="22.5">
      <c r="B19" s="1395"/>
      <c r="C19" s="1387" t="s">
        <v>3233</v>
      </c>
    </row>
    <row r="20" spans="2:3" ht="56.25">
      <c r="B20" s="1395"/>
      <c r="C20" s="1387" t="s">
        <v>3234</v>
      </c>
    </row>
    <row r="21" spans="2:3">
      <c r="B21" s="1396" t="s">
        <v>1898</v>
      </c>
      <c r="C21" s="1381" t="s">
        <v>3242</v>
      </c>
    </row>
    <row r="22" spans="2:3" ht="22.5">
      <c r="B22" s="1396"/>
      <c r="C22" s="1380" t="s">
        <v>3235</v>
      </c>
    </row>
    <row r="23" spans="2:3" ht="33.75">
      <c r="B23" s="1396"/>
      <c r="C23" s="1380" t="s">
        <v>3236</v>
      </c>
    </row>
    <row r="24" spans="2:3" ht="22.5">
      <c r="B24" s="1389" t="s">
        <v>3239</v>
      </c>
      <c r="C24" s="1387" t="s">
        <v>3243</v>
      </c>
    </row>
    <row r="25" spans="2:3" ht="27" customHeight="1">
      <c r="B25" s="1382" t="s">
        <v>3240</v>
      </c>
      <c r="C25" s="1380" t="s">
        <v>3241</v>
      </c>
    </row>
    <row r="26" spans="2:3" ht="22.5">
      <c r="B26" s="1389" t="s">
        <v>2327</v>
      </c>
      <c r="C26" s="1387" t="s">
        <v>3237</v>
      </c>
    </row>
    <row r="27" spans="2:3" ht="23.25" thickBot="1">
      <c r="B27" s="1383" t="s">
        <v>3044</v>
      </c>
      <c r="C27" s="1384"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4" t="s">
        <v>3227</v>
      </c>
      <c r="C64" s="1394"/>
      <c r="D64" s="1394"/>
      <c r="E64" s="1394"/>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6"/>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1584</v>
      </c>
      <c r="B5" s="9" t="s">
        <v>3252</v>
      </c>
    </row>
    <row r="6" spans="1:2">
      <c r="A6" s="9" t="s">
        <v>1857</v>
      </c>
      <c r="B6" s="9" t="s">
        <v>3247</v>
      </c>
    </row>
    <row r="7" spans="1:2">
      <c r="B7" s="9" t="s">
        <v>3253</v>
      </c>
    </row>
    <row r="8" spans="1:2">
      <c r="B8" s="9" t="s">
        <v>3251</v>
      </c>
    </row>
    <row r="10" spans="1:2">
      <c r="A10" s="9" t="s">
        <v>3205</v>
      </c>
      <c r="B10" s="9" t="s">
        <v>2330</v>
      </c>
    </row>
    <row r="11" spans="1:2">
      <c r="A11" s="9" t="s">
        <v>2215</v>
      </c>
      <c r="B11" s="9" t="s">
        <v>3009</v>
      </c>
    </row>
    <row r="12" spans="1:2">
      <c r="B12" s="9" t="s">
        <v>3008</v>
      </c>
    </row>
    <row r="13" spans="1:2">
      <c r="B13" s="48" t="s">
        <v>2406</v>
      </c>
    </row>
    <row r="14" spans="1:2">
      <c r="B14" s="650" t="s">
        <v>2413</v>
      </c>
    </row>
    <row r="15" spans="1:2">
      <c r="B15" s="650" t="s">
        <v>2991</v>
      </c>
    </row>
    <row r="16" spans="1:2">
      <c r="B16" s="650" t="s">
        <v>2862</v>
      </c>
    </row>
    <row r="17" spans="1:2">
      <c r="B17" s="650" t="s">
        <v>3023</v>
      </c>
    </row>
    <row r="18" spans="1:2">
      <c r="B18" s="650" t="s">
        <v>3038</v>
      </c>
    </row>
    <row r="19" spans="1:2">
      <c r="A19" s="2"/>
      <c r="B19" s="650" t="s">
        <v>2869</v>
      </c>
    </row>
    <row r="20" spans="1:2">
      <c r="A20" s="2"/>
      <c r="B20" s="650" t="s">
        <v>3039</v>
      </c>
    </row>
    <row r="21" spans="1:2">
      <c r="B21" s="650" t="s">
        <v>2888</v>
      </c>
    </row>
    <row r="22" spans="1:2">
      <c r="A22" s="9" t="s">
        <v>1584</v>
      </c>
      <c r="B22" s="9" t="s">
        <v>2331</v>
      </c>
    </row>
    <row r="23" spans="1:2">
      <c r="B23" s="9" t="s">
        <v>2407</v>
      </c>
    </row>
    <row r="24" spans="1:2">
      <c r="B24" s="9" t="s">
        <v>2425</v>
      </c>
    </row>
    <row r="25" spans="1:2">
      <c r="B25" s="9" t="s">
        <v>2863</v>
      </c>
    </row>
    <row r="26" spans="1:2">
      <c r="B26" s="9" t="s">
        <v>2879</v>
      </c>
    </row>
    <row r="27" spans="1:2">
      <c r="B27" s="9" t="s">
        <v>2882</v>
      </c>
    </row>
    <row r="28" spans="1:2">
      <c r="B28" s="9" t="s">
        <v>2987</v>
      </c>
    </row>
    <row r="29" spans="1:2">
      <c r="B29" s="9" t="s">
        <v>2988</v>
      </c>
    </row>
    <row r="30" spans="1:2">
      <c r="B30" s="9" t="s">
        <v>3018</v>
      </c>
    </row>
    <row r="31" spans="1:2">
      <c r="B31" s="9" t="s">
        <v>3019</v>
      </c>
    </row>
    <row r="32" spans="1:2">
      <c r="B32" s="9" t="s">
        <v>3020</v>
      </c>
    </row>
    <row r="33" spans="1:2">
      <c r="B33" s="9" t="s">
        <v>2989</v>
      </c>
    </row>
    <row r="34" spans="1:2">
      <c r="A34" s="9" t="s">
        <v>1857</v>
      </c>
      <c r="B34" s="9" t="s">
        <v>2990</v>
      </c>
    </row>
    <row r="35" spans="1:2">
      <c r="B35" s="9" t="s">
        <v>2867</v>
      </c>
    </row>
    <row r="36" spans="1:2">
      <c r="A36" s="9" t="s">
        <v>2071</v>
      </c>
      <c r="B36" s="9" t="s">
        <v>2333</v>
      </c>
    </row>
    <row r="37" spans="1:2">
      <c r="B37" s="9" t="s">
        <v>2424</v>
      </c>
    </row>
    <row r="39" spans="1:2">
      <c r="A39" s="9" t="s">
        <v>1851</v>
      </c>
    </row>
    <row r="40" spans="1:2">
      <c r="A40" s="9" t="s">
        <v>2332</v>
      </c>
    </row>
    <row r="41" spans="1:2">
      <c r="A41" s="9" t="s">
        <v>311</v>
      </c>
      <c r="B41" s="9" t="s">
        <v>2041</v>
      </c>
    </row>
    <row r="42" spans="1:2">
      <c r="A42" s="9" t="s">
        <v>2215</v>
      </c>
      <c r="B42" s="9" t="s">
        <v>1443</v>
      </c>
    </row>
    <row r="43" spans="1:2">
      <c r="B43" s="9" t="s">
        <v>1442</v>
      </c>
    </row>
    <row r="44" spans="1:2">
      <c r="B44" s="9" t="s">
        <v>65</v>
      </c>
    </row>
    <row r="45" spans="1:2">
      <c r="B45" s="9" t="s">
        <v>62</v>
      </c>
    </row>
    <row r="46" spans="1:2">
      <c r="B46" s="9" t="s">
        <v>60</v>
      </c>
    </row>
    <row r="47" spans="1:2">
      <c r="B47" s="9" t="s">
        <v>61</v>
      </c>
    </row>
    <row r="48" spans="1:2">
      <c r="B48" s="9" t="s">
        <v>64</v>
      </c>
    </row>
    <row r="49" spans="1:2">
      <c r="B49" s="9" t="s">
        <v>1730</v>
      </c>
    </row>
    <row r="50" spans="1:2">
      <c r="B50" s="9" t="s">
        <v>69</v>
      </c>
    </row>
    <row r="51" spans="1:2">
      <c r="B51" s="2" t="s">
        <v>2163</v>
      </c>
    </row>
    <row r="52" spans="1:2">
      <c r="B52" s="2" t="s">
        <v>2164</v>
      </c>
    </row>
    <row r="53" spans="1:2">
      <c r="B53" s="2" t="s">
        <v>67</v>
      </c>
    </row>
    <row r="54" spans="1:2">
      <c r="B54" s="9" t="s">
        <v>68</v>
      </c>
    </row>
    <row r="55" spans="1:2">
      <c r="B55" s="9" t="s">
        <v>1729</v>
      </c>
    </row>
    <row r="56" spans="1:2">
      <c r="B56" s="9" t="s">
        <v>73</v>
      </c>
    </row>
    <row r="57" spans="1:2">
      <c r="B57" s="9" t="s">
        <v>2165</v>
      </c>
    </row>
    <row r="58" spans="1:2">
      <c r="B58" s="9" t="s">
        <v>70</v>
      </c>
    </row>
    <row r="59" spans="1:2">
      <c r="B59" s="9" t="s">
        <v>2160</v>
      </c>
    </row>
    <row r="60" spans="1:2">
      <c r="B60" s="9" t="s">
        <v>790</v>
      </c>
    </row>
    <row r="61" spans="1:2">
      <c r="A61" s="9" t="s">
        <v>1857</v>
      </c>
      <c r="B61" s="9" t="s">
        <v>71</v>
      </c>
    </row>
    <row r="62" spans="1:2">
      <c r="B62" s="9" t="s">
        <v>1444</v>
      </c>
    </row>
    <row r="63" spans="1:2">
      <c r="B63" s="9" t="s">
        <v>66</v>
      </c>
    </row>
    <row r="64" spans="1:2">
      <c r="B64" s="9" t="s">
        <v>1731</v>
      </c>
    </row>
    <row r="65" spans="1:2">
      <c r="B65" s="9" t="s">
        <v>305</v>
      </c>
    </row>
    <row r="66" spans="1:2">
      <c r="B66" s="9" t="s">
        <v>788</v>
      </c>
    </row>
    <row r="67" spans="1:2">
      <c r="B67" s="9" t="s">
        <v>789</v>
      </c>
    </row>
    <row r="68" spans="1:2">
      <c r="B68" s="9" t="s">
        <v>1558</v>
      </c>
    </row>
    <row r="69" spans="1:2">
      <c r="B69" s="9" t="s">
        <v>1757</v>
      </c>
    </row>
    <row r="70" spans="1:2">
      <c r="B70" s="9" t="s">
        <v>309</v>
      </c>
    </row>
    <row r="71" spans="1:2">
      <c r="B71" s="9" t="s">
        <v>310</v>
      </c>
    </row>
    <row r="73" spans="1:2">
      <c r="A73" s="9" t="s">
        <v>2203</v>
      </c>
      <c r="B73" s="9" t="s">
        <v>791</v>
      </c>
    </row>
    <row r="74" spans="1:2">
      <c r="A74" s="9" t="s">
        <v>2215</v>
      </c>
      <c r="B74" s="9" t="s">
        <v>1988</v>
      </c>
    </row>
    <row r="75" spans="1:2">
      <c r="A75" s="2"/>
      <c r="B75" s="9" t="s">
        <v>1834</v>
      </c>
    </row>
    <row r="76" spans="1:2">
      <c r="B76" s="9" t="s">
        <v>408</v>
      </c>
    </row>
    <row r="77" spans="1:2">
      <c r="B77" s="9" t="s">
        <v>1733</v>
      </c>
    </row>
    <row r="78" spans="1:2">
      <c r="A78" s="9" t="s">
        <v>1584</v>
      </c>
      <c r="B78" s="9" t="s">
        <v>1238</v>
      </c>
    </row>
    <row r="79" spans="1:2">
      <c r="B79" s="9" t="s">
        <v>1677</v>
      </c>
    </row>
    <row r="80" spans="1:2">
      <c r="B80" s="9" t="s">
        <v>603</v>
      </c>
    </row>
    <row r="81" spans="1:2">
      <c r="B81" s="9" t="s">
        <v>2204</v>
      </c>
    </row>
    <row r="82" spans="1:2">
      <c r="B82" s="9" t="s">
        <v>37</v>
      </c>
    </row>
    <row r="83" spans="1:2">
      <c r="B83" s="9" t="s">
        <v>2007</v>
      </c>
    </row>
    <row r="84" spans="1:2">
      <c r="B84" s="9" t="s">
        <v>2237</v>
      </c>
    </row>
    <row r="85" spans="1:2">
      <c r="B85" s="9" t="s">
        <v>2236</v>
      </c>
    </row>
    <row r="86" spans="1:2">
      <c r="B86" s="9" t="s">
        <v>2240</v>
      </c>
    </row>
    <row r="87" spans="1:2">
      <c r="A87" s="9" t="s">
        <v>1857</v>
      </c>
      <c r="B87" s="9" t="s">
        <v>1237</v>
      </c>
    </row>
    <row r="88" spans="1:2">
      <c r="B88" s="9" t="s">
        <v>1239</v>
      </c>
    </row>
    <row r="89" spans="1:2">
      <c r="B89" s="9" t="s">
        <v>1240</v>
      </c>
    </row>
    <row r="90" spans="1:2">
      <c r="B90" s="9" t="s">
        <v>1241</v>
      </c>
    </row>
    <row r="91" spans="1:2">
      <c r="B91" s="9" t="s">
        <v>441</v>
      </c>
    </row>
    <row r="92" spans="1:2">
      <c r="B92" s="9" t="s">
        <v>406</v>
      </c>
    </row>
    <row r="93" spans="1:2">
      <c r="B93" s="9" t="s">
        <v>2013</v>
      </c>
    </row>
    <row r="94" spans="1:2">
      <c r="B94" s="9" t="s">
        <v>2314</v>
      </c>
    </row>
    <row r="95" spans="1:2">
      <c r="B95" s="9" t="s">
        <v>2315</v>
      </c>
    </row>
    <row r="96" spans="1:2">
      <c r="B96" s="9" t="s">
        <v>1250</v>
      </c>
    </row>
    <row r="97" spans="1:2">
      <c r="B97" s="9" t="s">
        <v>1732</v>
      </c>
    </row>
    <row r="98" spans="1:2">
      <c r="B98" s="9" t="s">
        <v>1910</v>
      </c>
    </row>
    <row r="99" spans="1:2">
      <c r="B99" s="9" t="s">
        <v>1911</v>
      </c>
    </row>
    <row r="100" spans="1:2">
      <c r="B100" s="9" t="s">
        <v>2234</v>
      </c>
    </row>
    <row r="101" spans="1:2">
      <c r="B101" s="9" t="s">
        <v>1111</v>
      </c>
    </row>
    <row r="102" spans="1:2">
      <c r="B102" s="9" t="s">
        <v>1112</v>
      </c>
    </row>
    <row r="104" spans="1:2">
      <c r="A104" s="9" t="s">
        <v>624</v>
      </c>
      <c r="B104" s="9" t="s">
        <v>791</v>
      </c>
    </row>
    <row r="105" spans="1:2">
      <c r="A105" s="9" t="s">
        <v>2215</v>
      </c>
      <c r="B105" s="9" t="s">
        <v>623</v>
      </c>
    </row>
    <row r="106" spans="1:2">
      <c r="A106" s="9" t="s">
        <v>1584</v>
      </c>
      <c r="B106" s="9" t="s">
        <v>431</v>
      </c>
    </row>
    <row r="107" spans="1:2">
      <c r="B107" s="9" t="s">
        <v>2267</v>
      </c>
    </row>
    <row r="108" spans="1:2">
      <c r="B108" s="9" t="s">
        <v>2059</v>
      </c>
    </row>
    <row r="109" spans="1:2">
      <c r="B109" s="9" t="s">
        <v>2063</v>
      </c>
    </row>
    <row r="110" spans="1:2">
      <c r="B110" s="9" t="s">
        <v>622</v>
      </c>
    </row>
    <row r="111" spans="1:2">
      <c r="B111" s="9" t="s">
        <v>625</v>
      </c>
    </row>
    <row r="112" spans="1:2">
      <c r="A112" s="9" t="s">
        <v>1857</v>
      </c>
      <c r="B112" s="9" t="s">
        <v>1880</v>
      </c>
    </row>
    <row r="113" spans="1:2">
      <c r="B113" s="9" t="s">
        <v>1881</v>
      </c>
    </row>
    <row r="114" spans="1:2">
      <c r="B114" s="9" t="s">
        <v>430</v>
      </c>
    </row>
    <row r="115" spans="1:2">
      <c r="B115" s="9" t="s">
        <v>2265</v>
      </c>
    </row>
    <row r="117" spans="1:2">
      <c r="A117" s="9" t="s">
        <v>1744</v>
      </c>
      <c r="B117" s="9" t="s">
        <v>791</v>
      </c>
    </row>
    <row r="118" spans="1:2">
      <c r="A118" s="9" t="s">
        <v>2215</v>
      </c>
      <c r="B118" s="9" t="s">
        <v>1875</v>
      </c>
    </row>
    <row r="119" spans="1:2">
      <c r="A119" s="2"/>
      <c r="B119" s="9" t="s">
        <v>83</v>
      </c>
    </row>
    <row r="120" spans="1:2">
      <c r="A120" s="2"/>
      <c r="B120" s="9" t="s">
        <v>1261</v>
      </c>
    </row>
    <row r="121" spans="1:2">
      <c r="B121" s="9" t="s">
        <v>79</v>
      </c>
    </row>
    <row r="122" spans="1:2">
      <c r="B122" s="9" t="s">
        <v>1860</v>
      </c>
    </row>
    <row r="123" spans="1:2">
      <c r="B123" s="9" t="s">
        <v>1865</v>
      </c>
    </row>
    <row r="124" spans="1:2">
      <c r="B124" s="9" t="s">
        <v>1861</v>
      </c>
    </row>
    <row r="125" spans="1:2">
      <c r="B125" s="9" t="s">
        <v>1866</v>
      </c>
    </row>
    <row r="126" spans="1:2">
      <c r="B126" s="9" t="s">
        <v>85</v>
      </c>
    </row>
    <row r="127" spans="1:2">
      <c r="B127" s="9" t="s">
        <v>1868</v>
      </c>
    </row>
    <row r="128" spans="1:2">
      <c r="A128" s="2"/>
      <c r="B128" s="9" t="s">
        <v>77</v>
      </c>
    </row>
    <row r="129" spans="2:2">
      <c r="B129" s="9" t="s">
        <v>78</v>
      </c>
    </row>
    <row r="130" spans="2:2">
      <c r="B130" s="9" t="s">
        <v>1262</v>
      </c>
    </row>
    <row r="131" spans="2:2">
      <c r="B131" s="9" t="s">
        <v>1263</v>
      </c>
    </row>
    <row r="132" spans="2:2">
      <c r="B132" s="9" t="s">
        <v>82</v>
      </c>
    </row>
    <row r="133" spans="2:2">
      <c r="B133" s="9" t="s">
        <v>1260</v>
      </c>
    </row>
    <row r="134" spans="2:2">
      <c r="B134" s="9" t="s">
        <v>1554</v>
      </c>
    </row>
    <row r="135" spans="2:2">
      <c r="B135" s="9" t="s">
        <v>1555</v>
      </c>
    </row>
    <row r="136" spans="2:2">
      <c r="B136" s="9" t="s">
        <v>1862</v>
      </c>
    </row>
    <row r="137" spans="2:2">
      <c r="B137" s="9" t="s">
        <v>1871</v>
      </c>
    </row>
    <row r="138" spans="2:2">
      <c r="B138" s="9" t="s">
        <v>1874</v>
      </c>
    </row>
    <row r="139" spans="2:2">
      <c r="B139" s="9" t="s">
        <v>1870</v>
      </c>
    </row>
    <row r="140" spans="2:2">
      <c r="B140" s="9" t="s">
        <v>28</v>
      </c>
    </row>
    <row r="141" spans="2:2">
      <c r="B141" s="9" t="s">
        <v>38</v>
      </c>
    </row>
    <row r="142" spans="2:2">
      <c r="B142" s="9" t="s">
        <v>39</v>
      </c>
    </row>
    <row r="143" spans="2:2">
      <c r="B143" s="9" t="s">
        <v>1743</v>
      </c>
    </row>
    <row r="144" spans="2:2">
      <c r="B144" s="9" t="s">
        <v>103</v>
      </c>
    </row>
    <row r="145" spans="1:2">
      <c r="B145" s="9" t="s">
        <v>106</v>
      </c>
    </row>
    <row r="146" spans="1:2">
      <c r="B146" s="9" t="s">
        <v>1559</v>
      </c>
    </row>
    <row r="147" spans="1:2">
      <c r="A147" s="9" t="s">
        <v>1584</v>
      </c>
      <c r="B147" s="9" t="s">
        <v>1592</v>
      </c>
    </row>
    <row r="148" spans="1:2">
      <c r="B148" s="9" t="s">
        <v>865</v>
      </c>
    </row>
    <row r="149" spans="1:2">
      <c r="B149" s="9" t="s">
        <v>2296</v>
      </c>
    </row>
    <row r="150" spans="1:2">
      <c r="B150" s="9" t="s">
        <v>421</v>
      </c>
    </row>
    <row r="151" spans="1:2">
      <c r="B151" s="9" t="s">
        <v>959</v>
      </c>
    </row>
    <row r="152" spans="1:2">
      <c r="B152" s="9" t="s">
        <v>1136</v>
      </c>
    </row>
    <row r="153" spans="1:2">
      <c r="B153" s="9" t="s">
        <v>866</v>
      </c>
    </row>
    <row r="154" spans="1:2">
      <c r="B154" s="9" t="s">
        <v>94</v>
      </c>
    </row>
    <row r="155" spans="1:2">
      <c r="B155" s="9" t="s">
        <v>96</v>
      </c>
    </row>
    <row r="156" spans="1:2">
      <c r="B156" s="9" t="s">
        <v>1560</v>
      </c>
    </row>
    <row r="157" spans="1:2">
      <c r="A157" s="9" t="s">
        <v>1857</v>
      </c>
      <c r="B157" s="9" t="s">
        <v>1623</v>
      </c>
    </row>
    <row r="158" spans="1:2">
      <c r="B158" s="9" t="s">
        <v>2015</v>
      </c>
    </row>
    <row r="159" spans="1:2">
      <c r="B159" s="9" t="s">
        <v>2016</v>
      </c>
    </row>
    <row r="160" spans="1:2">
      <c r="B160" s="9" t="s">
        <v>99</v>
      </c>
    </row>
    <row r="161" spans="1:2">
      <c r="A161" s="9" t="s">
        <v>2071</v>
      </c>
      <c r="B161" s="9" t="s">
        <v>811</v>
      </c>
    </row>
    <row r="164" spans="1:2">
      <c r="A164" s="9" t="s">
        <v>810</v>
      </c>
      <c r="B164" s="9" t="s">
        <v>791</v>
      </c>
    </row>
    <row r="165" spans="1:2">
      <c r="A165" s="9" t="s">
        <v>1584</v>
      </c>
      <c r="B165" s="9" t="s">
        <v>2261</v>
      </c>
    </row>
    <row r="166" spans="1:2">
      <c r="B166" s="9" t="s">
        <v>2262</v>
      </c>
    </row>
    <row r="167" spans="1:2">
      <c r="B167" s="9" t="s">
        <v>451</v>
      </c>
    </row>
    <row r="168" spans="1:2">
      <c r="A168" s="9" t="s">
        <v>1857</v>
      </c>
      <c r="B168" s="9" t="s">
        <v>2258</v>
      </c>
    </row>
    <row r="169" spans="1:2">
      <c r="B169" s="9" t="s">
        <v>2228</v>
      </c>
    </row>
    <row r="170" spans="1:2">
      <c r="B170" s="9" t="s">
        <v>2259</v>
      </c>
    </row>
    <row r="171" spans="1:2">
      <c r="B171" s="9" t="s">
        <v>2260</v>
      </c>
    </row>
    <row r="174" spans="1:2">
      <c r="A174" s="9" t="s">
        <v>877</v>
      </c>
      <c r="B174" s="9" t="s">
        <v>791</v>
      </c>
    </row>
    <row r="175" spans="1:2">
      <c r="A175" s="9" t="s">
        <v>2215</v>
      </c>
      <c r="B175" s="9" t="s">
        <v>698</v>
      </c>
    </row>
    <row r="176" spans="1:2">
      <c r="B176" s="9" t="s">
        <v>154</v>
      </c>
    </row>
    <row r="177" spans="1:2">
      <c r="B177" s="9" t="s">
        <v>153</v>
      </c>
    </row>
    <row r="178" spans="1:2">
      <c r="B178" s="9" t="s">
        <v>875</v>
      </c>
    </row>
    <row r="179" spans="1:2">
      <c r="A179" s="9" t="s">
        <v>1584</v>
      </c>
      <c r="B179" s="9" t="s">
        <v>156</v>
      </c>
    </row>
    <row r="180" spans="1:2">
      <c r="B180" s="9" t="s">
        <v>849</v>
      </c>
    </row>
    <row r="181" spans="1:2">
      <c r="B181" s="9" t="s">
        <v>876</v>
      </c>
    </row>
    <row r="182" spans="1:2">
      <c r="A182" s="9" t="s">
        <v>1857</v>
      </c>
      <c r="B182" s="9" t="s">
        <v>995</v>
      </c>
    </row>
    <row r="183" spans="1:2">
      <c r="B183" s="9" t="s">
        <v>697</v>
      </c>
    </row>
    <row r="184" spans="1:2">
      <c r="B184" s="9" t="s">
        <v>157</v>
      </c>
    </row>
    <row r="185" spans="1:2">
      <c r="B185" s="9" t="s">
        <v>149</v>
      </c>
    </row>
    <row r="186" spans="1:2">
      <c r="B186" s="9" t="s">
        <v>150</v>
      </c>
    </row>
    <row r="187" spans="1:2">
      <c r="B187" s="9" t="s">
        <v>151</v>
      </c>
    </row>
    <row r="188" spans="1:2">
      <c r="B188" s="9" t="s">
        <v>848</v>
      </c>
    </row>
    <row r="189" spans="1:2">
      <c r="B189" s="9" t="s">
        <v>852</v>
      </c>
    </row>
    <row r="190" spans="1:2">
      <c r="B190" s="9" t="s">
        <v>879</v>
      </c>
    </row>
    <row r="191" spans="1:2">
      <c r="A191" s="9" t="s">
        <v>2071</v>
      </c>
      <c r="B191" s="9" t="s">
        <v>152</v>
      </c>
    </row>
    <row r="193" spans="1:2">
      <c r="A193" s="9" t="s">
        <v>1595</v>
      </c>
      <c r="B193" s="9" t="s">
        <v>791</v>
      </c>
    </row>
    <row r="194" spans="1:2">
      <c r="A194" s="9" t="s">
        <v>1584</v>
      </c>
      <c r="B194" s="9" t="s">
        <v>2040</v>
      </c>
    </row>
    <row r="195" spans="1:2">
      <c r="B195" s="9" t="s">
        <v>313</v>
      </c>
    </row>
    <row r="196" spans="1:2">
      <c r="B196" s="9" t="s">
        <v>314</v>
      </c>
    </row>
    <row r="197" spans="1:2">
      <c r="A197" s="9" t="s">
        <v>1857</v>
      </c>
      <c r="B197" s="9" t="s">
        <v>312</v>
      </c>
    </row>
    <row r="198" spans="1:2">
      <c r="B198" s="9" t="s">
        <v>315</v>
      </c>
    </row>
    <row r="199" spans="1:2">
      <c r="B199" s="9" t="s">
        <v>2039</v>
      </c>
    </row>
    <row r="201" spans="1:2">
      <c r="A201" s="9" t="s">
        <v>1606</v>
      </c>
      <c r="B201" s="9" t="s">
        <v>791</v>
      </c>
    </row>
    <row r="202" spans="1:2">
      <c r="A202" s="9" t="s">
        <v>2215</v>
      </c>
      <c r="B202" s="9" t="s">
        <v>835</v>
      </c>
    </row>
    <row r="203" spans="1:2">
      <c r="B203" s="9" t="s">
        <v>1140</v>
      </c>
    </row>
    <row r="204" spans="1:2">
      <c r="A204" s="9" t="s">
        <v>1584</v>
      </c>
      <c r="B204" s="9" t="s">
        <v>832</v>
      </c>
    </row>
    <row r="205" spans="1:2">
      <c r="B205" s="9" t="s">
        <v>1266</v>
      </c>
    </row>
    <row r="206" spans="1:2">
      <c r="B206" s="9" t="s">
        <v>1488</v>
      </c>
    </row>
    <row r="207" spans="1:2">
      <c r="B207" s="9" t="s">
        <v>1557</v>
      </c>
    </row>
    <row r="208" spans="1:2">
      <c r="B208" s="9" t="s">
        <v>1322</v>
      </c>
    </row>
    <row r="209" spans="1:2">
      <c r="B209" s="9" t="s">
        <v>1489</v>
      </c>
    </row>
    <row r="210" spans="1:2">
      <c r="B210" s="9" t="s">
        <v>1323</v>
      </c>
    </row>
    <row r="211" spans="1:2">
      <c r="B211" s="9" t="s">
        <v>1139</v>
      </c>
    </row>
    <row r="212" spans="1:2">
      <c r="B212" s="9" t="s">
        <v>1490</v>
      </c>
    </row>
    <row r="213" spans="1:2">
      <c r="B213" s="9" t="s">
        <v>1491</v>
      </c>
    </row>
    <row r="214" spans="1:2">
      <c r="B214" s="9" t="s">
        <v>1492</v>
      </c>
    </row>
    <row r="215" spans="1:2">
      <c r="A215" s="9" t="s">
        <v>1857</v>
      </c>
      <c r="B215" s="9" t="s">
        <v>833</v>
      </c>
    </row>
    <row r="216" spans="1:2">
      <c r="B216" s="9" t="s">
        <v>614</v>
      </c>
    </row>
    <row r="217" spans="1:2">
      <c r="B217" s="9" t="s">
        <v>588</v>
      </c>
    </row>
    <row r="218" spans="1:2">
      <c r="B218" s="9" t="s">
        <v>731</v>
      </c>
    </row>
    <row r="219" spans="1:2">
      <c r="B219" s="9" t="s">
        <v>938</v>
      </c>
    </row>
    <row r="220" spans="1:2">
      <c r="A220" s="9" t="s">
        <v>2071</v>
      </c>
      <c r="B220" s="9" t="s">
        <v>266</v>
      </c>
    </row>
    <row r="222" spans="1:2">
      <c r="A222" s="9" t="s">
        <v>1416</v>
      </c>
      <c r="B222" s="9" t="s">
        <v>791</v>
      </c>
    </row>
    <row r="223" spans="1:2">
      <c r="A223" s="9" t="s">
        <v>2215</v>
      </c>
      <c r="B223" s="9" t="s">
        <v>438</v>
      </c>
    </row>
    <row r="224" spans="1:2">
      <c r="B224" s="9" t="s">
        <v>1417</v>
      </c>
    </row>
    <row r="225" spans="1:2">
      <c r="B225" s="9" t="s">
        <v>306</v>
      </c>
    </row>
    <row r="226" spans="1:2">
      <c r="B226" s="9" t="s">
        <v>1355</v>
      </c>
    </row>
    <row r="227" spans="1:2">
      <c r="A227" s="9" t="s">
        <v>1584</v>
      </c>
      <c r="B227" s="9" t="s">
        <v>656</v>
      </c>
    </row>
    <row r="228" spans="1:2">
      <c r="B228" s="9" t="s">
        <v>631</v>
      </c>
    </row>
    <row r="229" spans="1:2">
      <c r="B229" s="9" t="s">
        <v>1351</v>
      </c>
    </row>
    <row r="230" spans="1:2">
      <c r="A230" s="2"/>
      <c r="B230" s="9" t="s">
        <v>627</v>
      </c>
    </row>
    <row r="231" spans="1:2">
      <c r="B231" s="9" t="s">
        <v>626</v>
      </c>
    </row>
    <row r="232" spans="1:2">
      <c r="B232" s="9" t="s">
        <v>628</v>
      </c>
    </row>
    <row r="233" spans="1:2">
      <c r="A233" s="9" t="s">
        <v>1857</v>
      </c>
      <c r="B233" s="9" t="s">
        <v>16</v>
      </c>
    </row>
    <row r="234" spans="1:2">
      <c r="B234" s="9" t="s">
        <v>1621</v>
      </c>
    </row>
    <row r="235" spans="1:2">
      <c r="B235" s="9" t="s">
        <v>1256</v>
      </c>
    </row>
    <row r="236" spans="1:2">
      <c r="B236" s="9" t="s">
        <v>1257</v>
      </c>
    </row>
    <row r="237" spans="1:2">
      <c r="B237" s="9" t="s">
        <v>1258</v>
      </c>
    </row>
    <row r="238" spans="1:2">
      <c r="B238" s="9" t="s">
        <v>1209</v>
      </c>
    </row>
    <row r="239" spans="1:2">
      <c r="B239" s="9" t="s">
        <v>1210</v>
      </c>
    </row>
    <row r="240" spans="1:2">
      <c r="B240" s="9" t="s">
        <v>1418</v>
      </c>
    </row>
    <row r="241" spans="1:2">
      <c r="A241" s="9" t="s">
        <v>2071</v>
      </c>
      <c r="B241" s="9" t="s">
        <v>2017</v>
      </c>
    </row>
    <row r="242" spans="1:2">
      <c r="B242" s="9" t="s">
        <v>2018</v>
      </c>
    </row>
    <row r="244" spans="1:2">
      <c r="A244" s="9" t="s">
        <v>1571</v>
      </c>
      <c r="B244" s="9" t="s">
        <v>791</v>
      </c>
    </row>
    <row r="245" spans="1:2">
      <c r="A245" s="9" t="s">
        <v>2215</v>
      </c>
      <c r="B245" s="9" t="s">
        <v>2094</v>
      </c>
    </row>
    <row r="246" spans="1:2">
      <c r="B246" s="9" t="s">
        <v>10</v>
      </c>
    </row>
    <row r="247" spans="1:2">
      <c r="B247" s="9" t="s">
        <v>130</v>
      </c>
    </row>
    <row r="248" spans="1:2">
      <c r="B248" s="9" t="s">
        <v>1884</v>
      </c>
    </row>
    <row r="249" spans="1:2">
      <c r="B249" s="9" t="s">
        <v>1569</v>
      </c>
    </row>
    <row r="250" spans="1:2">
      <c r="A250" s="2"/>
      <c r="B250" s="9" t="s">
        <v>1635</v>
      </c>
    </row>
    <row r="251" spans="1:2">
      <c r="A251" s="2"/>
      <c r="B251" s="9" t="s">
        <v>425</v>
      </c>
    </row>
    <row r="252" spans="1:2">
      <c r="A252" s="2"/>
      <c r="B252" s="9" t="s">
        <v>11</v>
      </c>
    </row>
    <row r="253" spans="1:2">
      <c r="B253" s="9" t="s">
        <v>2027</v>
      </c>
    </row>
    <row r="254" spans="1:2">
      <c r="B254" s="9" t="s">
        <v>2028</v>
      </c>
    </row>
    <row r="255" spans="1:2">
      <c r="B255" s="9" t="s">
        <v>426</v>
      </c>
    </row>
    <row r="256" spans="1:2">
      <c r="A256" s="2"/>
      <c r="B256" s="9" t="s">
        <v>1141</v>
      </c>
    </row>
    <row r="257" spans="1:2">
      <c r="B257" s="9" t="s">
        <v>1142</v>
      </c>
    </row>
    <row r="258" spans="1:2">
      <c r="B258" s="9" t="s">
        <v>1885</v>
      </c>
    </row>
    <row r="259" spans="1:2">
      <c r="B259" s="9" t="s">
        <v>1893</v>
      </c>
    </row>
    <row r="260" spans="1:2">
      <c r="B260" s="9" t="s">
        <v>1347</v>
      </c>
    </row>
    <row r="261" spans="1:2">
      <c r="B261" s="9" t="s">
        <v>1678</v>
      </c>
    </row>
    <row r="262" spans="1:2">
      <c r="B262" s="9" t="s">
        <v>1886</v>
      </c>
    </row>
    <row r="263" spans="1:2">
      <c r="B263" s="9" t="s">
        <v>12</v>
      </c>
    </row>
    <row r="264" spans="1:2">
      <c r="B264" s="9" t="s">
        <v>701</v>
      </c>
    </row>
    <row r="265" spans="1:2">
      <c r="A265" s="2"/>
      <c r="B265" s="9" t="s">
        <v>1028</v>
      </c>
    </row>
    <row r="266" spans="1:2">
      <c r="A266" s="2"/>
      <c r="B266" s="9" t="s">
        <v>1636</v>
      </c>
    </row>
    <row r="267" spans="1:2">
      <c r="A267" s="2"/>
      <c r="B267" s="9" t="s">
        <v>1143</v>
      </c>
    </row>
    <row r="268" spans="1:2">
      <c r="B268" s="9" t="s">
        <v>880</v>
      </c>
    </row>
    <row r="269" spans="1:2">
      <c r="B269" s="9" t="s">
        <v>129</v>
      </c>
    </row>
    <row r="270" spans="1:2">
      <c r="B270" s="9" t="s">
        <v>1887</v>
      </c>
    </row>
    <row r="271" spans="1:2">
      <c r="B271" s="9" t="s">
        <v>427</v>
      </c>
    </row>
    <row r="272" spans="1:2">
      <c r="B272" s="9" t="s">
        <v>1888</v>
      </c>
    </row>
    <row r="273" spans="1:2">
      <c r="B273" s="9" t="s">
        <v>1892</v>
      </c>
    </row>
    <row r="274" spans="1:2">
      <c r="B274" s="9" t="s">
        <v>428</v>
      </c>
    </row>
    <row r="275" spans="1:2">
      <c r="B275" s="9" t="s">
        <v>1890</v>
      </c>
    </row>
    <row r="276" spans="1:2">
      <c r="B276" s="9" t="s">
        <v>1891</v>
      </c>
    </row>
    <row r="277" spans="1:2">
      <c r="B277" s="9" t="s">
        <v>429</v>
      </c>
    </row>
    <row r="278" spans="1:2">
      <c r="B278" s="9" t="s">
        <v>1882</v>
      </c>
    </row>
    <row r="279" spans="1:2">
      <c r="B279" s="9" t="s">
        <v>1883</v>
      </c>
    </row>
    <row r="280" spans="1:2">
      <c r="A280" s="9" t="s">
        <v>1857</v>
      </c>
      <c r="B280" s="9" t="s">
        <v>422</v>
      </c>
    </row>
    <row r="281" spans="1:2">
      <c r="B281" s="9" t="s">
        <v>252</v>
      </c>
    </row>
    <row r="282" spans="1:2">
      <c r="B282" s="9" t="s">
        <v>254</v>
      </c>
    </row>
    <row r="283" spans="1:2">
      <c r="B283" s="9" t="s">
        <v>307</v>
      </c>
    </row>
    <row r="284" spans="1:2">
      <c r="B284" s="9" t="s">
        <v>1570</v>
      </c>
    </row>
    <row r="285" spans="1:2">
      <c r="B285" s="9" t="s">
        <v>1572</v>
      </c>
    </row>
    <row r="286" spans="1:2">
      <c r="A286" s="9" t="s">
        <v>423</v>
      </c>
      <c r="B286" s="9" t="s">
        <v>424</v>
      </c>
    </row>
    <row r="287" spans="1:2">
      <c r="B287" s="9" t="s">
        <v>253</v>
      </c>
    </row>
    <row r="288" spans="1:2">
      <c r="B288" s="9" t="s">
        <v>1568</v>
      </c>
    </row>
    <row r="290" spans="1:2">
      <c r="A290" s="9" t="s">
        <v>458</v>
      </c>
      <c r="B290" s="9" t="s">
        <v>791</v>
      </c>
    </row>
    <row r="291" spans="1:2">
      <c r="A291" s="9" t="s">
        <v>2215</v>
      </c>
      <c r="B291" s="9" t="s">
        <v>990</v>
      </c>
    </row>
    <row r="292" spans="1:2">
      <c r="A292" s="2"/>
      <c r="B292" s="9" t="s">
        <v>967</v>
      </c>
    </row>
    <row r="293" spans="1:2">
      <c r="B293" s="9" t="s">
        <v>971</v>
      </c>
    </row>
    <row r="294" spans="1:2">
      <c r="B294" s="9" t="s">
        <v>860</v>
      </c>
    </row>
    <row r="295" spans="1:2">
      <c r="B295" s="9" t="s">
        <v>708</v>
      </c>
    </row>
    <row r="296" spans="1:2">
      <c r="B296" s="9" t="s">
        <v>988</v>
      </c>
    </row>
    <row r="297" spans="1:2">
      <c r="A297" s="2"/>
      <c r="B297" s="9" t="s">
        <v>966</v>
      </c>
    </row>
    <row r="298" spans="1:2">
      <c r="A298" s="2"/>
      <c r="B298" s="9" t="s">
        <v>986</v>
      </c>
    </row>
    <row r="299" spans="1:2">
      <c r="A299" s="2"/>
      <c r="B299" s="9" t="s">
        <v>965</v>
      </c>
    </row>
    <row r="300" spans="1:2">
      <c r="A300" s="2"/>
      <c r="B300" s="9" t="s">
        <v>987</v>
      </c>
    </row>
    <row r="301" spans="1:2">
      <c r="A301" s="2"/>
      <c r="B301" s="9" t="s">
        <v>707</v>
      </c>
    </row>
    <row r="302" spans="1:2">
      <c r="A302" s="2"/>
      <c r="B302" s="9" t="s">
        <v>969</v>
      </c>
    </row>
    <row r="303" spans="1:2">
      <c r="A303" s="2"/>
      <c r="B303" s="9" t="s">
        <v>979</v>
      </c>
    </row>
    <row r="304" spans="1:2">
      <c r="A304" s="2"/>
      <c r="B304" s="9" t="s">
        <v>978</v>
      </c>
    </row>
    <row r="305" spans="1:2">
      <c r="A305" s="2"/>
      <c r="B305" s="9" t="s">
        <v>870</v>
      </c>
    </row>
    <row r="306" spans="1:2">
      <c r="A306" s="2"/>
      <c r="B306" s="9" t="s">
        <v>972</v>
      </c>
    </row>
    <row r="307" spans="1:2">
      <c r="A307" s="2"/>
      <c r="B307" s="9" t="s">
        <v>960</v>
      </c>
    </row>
    <row r="308" spans="1:2">
      <c r="A308" s="2"/>
      <c r="B308" s="9" t="s">
        <v>970</v>
      </c>
    </row>
    <row r="309" spans="1:2">
      <c r="A309" s="2"/>
      <c r="B309" s="9" t="s">
        <v>872</v>
      </c>
    </row>
    <row r="310" spans="1:2">
      <c r="A310" s="2"/>
      <c r="B310" s="9" t="s">
        <v>968</v>
      </c>
    </row>
    <row r="311" spans="1:2">
      <c r="A311" s="2"/>
      <c r="B311" s="9" t="s">
        <v>993</v>
      </c>
    </row>
    <row r="312" spans="1:2">
      <c r="A312" s="2"/>
      <c r="B312" s="9" t="s">
        <v>704</v>
      </c>
    </row>
    <row r="313" spans="1:2">
      <c r="A313" s="2"/>
      <c r="B313" s="9" t="s">
        <v>705</v>
      </c>
    </row>
    <row r="314" spans="1:2">
      <c r="A314" s="2"/>
      <c r="B314" s="9" t="s">
        <v>703</v>
      </c>
    </row>
    <row r="315" spans="1:2">
      <c r="A315" s="2"/>
      <c r="B315" s="9" t="s">
        <v>702</v>
      </c>
    </row>
    <row r="316" spans="1:2">
      <c r="A316" s="2"/>
      <c r="B316" s="9" t="s">
        <v>706</v>
      </c>
    </row>
    <row r="317" spans="1:2">
      <c r="A317" s="2"/>
      <c r="B317" s="9" t="s">
        <v>980</v>
      </c>
    </row>
    <row r="318" spans="1:2">
      <c r="A318" s="2"/>
      <c r="B318" s="9" t="s">
        <v>964</v>
      </c>
    </row>
    <row r="319" spans="1:2">
      <c r="A319" s="2"/>
      <c r="B319" s="9" t="s">
        <v>991</v>
      </c>
    </row>
    <row r="320" spans="1:2">
      <c r="A320" s="2"/>
      <c r="B320" s="9" t="s">
        <v>975</v>
      </c>
    </row>
    <row r="321" spans="1:2">
      <c r="A321" s="2"/>
      <c r="B321" s="9" t="s">
        <v>976</v>
      </c>
    </row>
    <row r="322" spans="1:2">
      <c r="A322" s="2"/>
      <c r="B322" s="9" t="s">
        <v>989</v>
      </c>
    </row>
    <row r="323" spans="1:2">
      <c r="B323" s="9" t="s">
        <v>873</v>
      </c>
    </row>
    <row r="324" spans="1:2">
      <c r="B324" s="9" t="s">
        <v>981</v>
      </c>
    </row>
    <row r="325" spans="1:2">
      <c r="B325" s="9" t="s">
        <v>982</v>
      </c>
    </row>
    <row r="326" spans="1:2">
      <c r="B326" s="9" t="s">
        <v>983</v>
      </c>
    </row>
    <row r="327" spans="1:2">
      <c r="B327" s="9" t="s">
        <v>992</v>
      </c>
    </row>
    <row r="328" spans="1:2">
      <c r="B328" s="9" t="s">
        <v>973</v>
      </c>
    </row>
    <row r="329" spans="1:2">
      <c r="B329" s="9" t="s">
        <v>984</v>
      </c>
    </row>
    <row r="330" spans="1:2">
      <c r="B330" s="9" t="s">
        <v>974</v>
      </c>
    </row>
    <row r="331" spans="1:2">
      <c r="B331" s="9" t="s">
        <v>1267</v>
      </c>
    </row>
    <row r="332" spans="1:2">
      <c r="A332" s="9" t="s">
        <v>1584</v>
      </c>
      <c r="B332" s="9" t="s">
        <v>610</v>
      </c>
    </row>
    <row r="333" spans="1:2">
      <c r="B333" s="9" t="s">
        <v>611</v>
      </c>
    </row>
    <row r="334" spans="1:2">
      <c r="B334" s="9" t="s">
        <v>612</v>
      </c>
    </row>
    <row r="335" spans="1:2">
      <c r="B335" s="9" t="s">
        <v>939</v>
      </c>
    </row>
    <row r="336" spans="1:2">
      <c r="A336" s="9" t="s">
        <v>1857</v>
      </c>
      <c r="B336" s="9" t="s">
        <v>715</v>
      </c>
    </row>
    <row r="337" spans="1:2">
      <c r="B337" s="9" t="s">
        <v>994</v>
      </c>
    </row>
    <row r="338" spans="1:2">
      <c r="B338" s="9" t="s">
        <v>956</v>
      </c>
    </row>
    <row r="339" spans="1:2">
      <c r="B339" s="9" t="s">
        <v>1605</v>
      </c>
    </row>
    <row r="340" spans="1:2">
      <c r="B340" s="9" t="s">
        <v>1963</v>
      </c>
    </row>
    <row r="341" spans="1:2">
      <c r="B341" s="9" t="s">
        <v>613</v>
      </c>
    </row>
    <row r="342" spans="1:2">
      <c r="A342" s="9" t="s">
        <v>856</v>
      </c>
      <c r="B342" s="9" t="s">
        <v>857</v>
      </c>
    </row>
    <row r="343" spans="1:2">
      <c r="B343" s="9" t="s">
        <v>1399</v>
      </c>
    </row>
    <row r="344" spans="1:2">
      <c r="B344" s="9" t="s">
        <v>858</v>
      </c>
    </row>
    <row r="345" spans="1:2">
      <c r="B345" s="9" t="s">
        <v>859</v>
      </c>
    </row>
    <row r="346" spans="1:2">
      <c r="B346" s="9" t="s">
        <v>1151</v>
      </c>
    </row>
    <row r="348" spans="1:2">
      <c r="A348" s="9" t="s">
        <v>189</v>
      </c>
      <c r="B348" s="9" t="s">
        <v>791</v>
      </c>
    </row>
    <row r="349" spans="1:2">
      <c r="A349" s="9" t="s">
        <v>2215</v>
      </c>
      <c r="B349" s="9" t="s">
        <v>1291</v>
      </c>
    </row>
    <row r="350" spans="1:2">
      <c r="A350" s="2"/>
      <c r="B350" s="9" t="s">
        <v>1292</v>
      </c>
    </row>
    <row r="351" spans="1:2">
      <c r="A351" s="2"/>
      <c r="B351" s="9" t="s">
        <v>812</v>
      </c>
    </row>
    <row r="352" spans="1:2">
      <c r="A352" s="2"/>
      <c r="B352" s="9" t="s">
        <v>1358</v>
      </c>
    </row>
    <row r="353" spans="1:2">
      <c r="A353" s="2"/>
      <c r="B353" s="9" t="s">
        <v>188</v>
      </c>
    </row>
    <row r="354" spans="1:2">
      <c r="A354" s="2" t="s">
        <v>1584</v>
      </c>
      <c r="B354" s="9" t="s">
        <v>1912</v>
      </c>
    </row>
    <row r="355" spans="1:2">
      <c r="A355" s="2"/>
      <c r="B355" s="9" t="s">
        <v>1130</v>
      </c>
    </row>
    <row r="356" spans="1:2">
      <c r="A356" s="2"/>
      <c r="B356" s="9" t="s">
        <v>190</v>
      </c>
    </row>
    <row r="357" spans="1:2">
      <c r="A357" s="2"/>
      <c r="B357" s="9" t="s">
        <v>561</v>
      </c>
    </row>
    <row r="358" spans="1:2">
      <c r="A358" s="2"/>
      <c r="B358" s="9" t="s">
        <v>1631</v>
      </c>
    </row>
    <row r="359" spans="1:2">
      <c r="A359" s="2"/>
      <c r="B359" s="9" t="s">
        <v>1637</v>
      </c>
    </row>
    <row r="360" spans="1:2">
      <c r="A360" s="2"/>
      <c r="B360" s="9" t="s">
        <v>1742</v>
      </c>
    </row>
    <row r="361" spans="1:2">
      <c r="A361" s="2"/>
      <c r="B361" s="9" t="s">
        <v>1632</v>
      </c>
    </row>
    <row r="362" spans="1:2">
      <c r="A362" s="2"/>
      <c r="B362" s="9" t="s">
        <v>1633</v>
      </c>
    </row>
    <row r="363" spans="1:2">
      <c r="A363" s="2"/>
      <c r="B363" s="9" t="s">
        <v>1741</v>
      </c>
    </row>
    <row r="364" spans="1:2">
      <c r="A364" s="2"/>
      <c r="B364" s="9" t="s">
        <v>1634</v>
      </c>
    </row>
    <row r="365" spans="1:2">
      <c r="A365" s="2"/>
      <c r="B365" s="9" t="s">
        <v>45</v>
      </c>
    </row>
    <row r="366" spans="1:2">
      <c r="A366" s="2"/>
      <c r="B366" s="9" t="s">
        <v>52</v>
      </c>
    </row>
    <row r="367" spans="1:2">
      <c r="A367" s="2"/>
      <c r="B367" s="9" t="s">
        <v>1638</v>
      </c>
    </row>
    <row r="368" spans="1:2">
      <c r="A368" s="2" t="s">
        <v>1857</v>
      </c>
      <c r="B368" s="9" t="s">
        <v>1293</v>
      </c>
    </row>
    <row r="369" spans="1:2">
      <c r="A369" s="2"/>
      <c r="B369" s="9" t="s">
        <v>1294</v>
      </c>
    </row>
    <row r="370" spans="1:2">
      <c r="A370" s="2"/>
      <c r="B370" s="9" t="s">
        <v>1131</v>
      </c>
    </row>
    <row r="371" spans="1:2">
      <c r="A371" s="2"/>
      <c r="B371" s="9" t="s">
        <v>1653</v>
      </c>
    </row>
    <row r="372" spans="1:2">
      <c r="A372" s="2"/>
      <c r="B372" s="9" t="s">
        <v>114</v>
      </c>
    </row>
    <row r="373" spans="1:2">
      <c r="A373" s="2"/>
      <c r="B373" s="9" t="s">
        <v>607</v>
      </c>
    </row>
    <row r="374" spans="1:2">
      <c r="A374" s="2"/>
      <c r="B374" s="9" t="s">
        <v>40</v>
      </c>
    </row>
    <row r="375" spans="1:2">
      <c r="A375" s="2"/>
      <c r="B375" s="9" t="s">
        <v>42</v>
      </c>
    </row>
    <row r="376" spans="1:2">
      <c r="A376" s="2"/>
      <c r="B376" s="9" t="s">
        <v>41</v>
      </c>
    </row>
    <row r="377" spans="1:2">
      <c r="A377" s="2" t="s">
        <v>2071</v>
      </c>
      <c r="B377" s="9" t="s">
        <v>43</v>
      </c>
    </row>
    <row r="378" spans="1:2">
      <c r="A378" s="2"/>
      <c r="B378" s="9" t="s">
        <v>51</v>
      </c>
    </row>
    <row r="379" spans="1:2">
      <c r="B379" s="9" t="s">
        <v>1619</v>
      </c>
    </row>
    <row r="380" spans="1:2">
      <c r="B380" s="9" t="s">
        <v>1620</v>
      </c>
    </row>
    <row r="381" spans="1:2">
      <c r="B381" s="9" t="s">
        <v>2069</v>
      </c>
    </row>
    <row r="383" spans="1:2">
      <c r="A383" s="9" t="s">
        <v>1856</v>
      </c>
      <c r="B383" s="9" t="s">
        <v>791</v>
      </c>
    </row>
    <row r="384" spans="1:2">
      <c r="A384" s="9" t="s">
        <v>2215</v>
      </c>
      <c r="B384" s="9" t="s">
        <v>2216</v>
      </c>
    </row>
    <row r="385" spans="1:2">
      <c r="A385" s="9" t="s">
        <v>1857</v>
      </c>
      <c r="B385" s="9" t="s">
        <v>2218</v>
      </c>
    </row>
    <row r="386" spans="1:2">
      <c r="B386" s="9" t="s">
        <v>498</v>
      </c>
    </row>
    <row r="387" spans="1:2">
      <c r="B387" s="9" t="s">
        <v>2217</v>
      </c>
    </row>
    <row r="388" spans="1:2">
      <c r="B388" s="9" t="s">
        <v>996</v>
      </c>
    </row>
    <row r="389" spans="1:2">
      <c r="B389" s="9" t="s">
        <v>1340</v>
      </c>
    </row>
    <row r="390" spans="1:2">
      <c r="B390" s="9" t="s">
        <v>2213</v>
      </c>
    </row>
    <row r="391" spans="1:2">
      <c r="B391" s="9" t="s">
        <v>2219</v>
      </c>
    </row>
    <row r="393" spans="1:2">
      <c r="A393" s="9" t="s">
        <v>1354</v>
      </c>
      <c r="B393" s="9" t="s">
        <v>791</v>
      </c>
    </row>
    <row r="394" spans="1:2">
      <c r="A394" s="9" t="s">
        <v>2248</v>
      </c>
      <c r="B394" s="9" t="s">
        <v>792</v>
      </c>
    </row>
    <row r="395" spans="1:2">
      <c r="A395" s="9" t="s">
        <v>2179</v>
      </c>
      <c r="B395" s="9" t="s">
        <v>1425</v>
      </c>
    </row>
    <row r="396" spans="1:2">
      <c r="B396" s="9" t="s">
        <v>1426</v>
      </c>
    </row>
    <row r="397" spans="1:2">
      <c r="B397" s="9" t="s">
        <v>489</v>
      </c>
    </row>
    <row r="398" spans="1:2">
      <c r="B398" s="9" t="s">
        <v>490</v>
      </c>
    </row>
    <row r="399" spans="1:2">
      <c r="B399" s="9" t="s">
        <v>1337</v>
      </c>
    </row>
    <row r="400" spans="1:2">
      <c r="B400" s="9" t="s">
        <v>874</v>
      </c>
    </row>
    <row r="401" spans="1:2">
      <c r="A401" s="9" t="s">
        <v>2247</v>
      </c>
      <c r="B401" s="9" t="s">
        <v>261</v>
      </c>
    </row>
    <row r="402" spans="1:2">
      <c r="B402" s="9" t="s">
        <v>262</v>
      </c>
    </row>
    <row r="403" spans="1:2">
      <c r="B403" s="9" t="s">
        <v>853</v>
      </c>
    </row>
    <row r="405" spans="1:2">
      <c r="A405" s="9" t="s">
        <v>1965</v>
      </c>
      <c r="B405" s="9" t="s">
        <v>791</v>
      </c>
    </row>
    <row r="406" spans="1:2">
      <c r="A406" s="9" t="s">
        <v>2248</v>
      </c>
      <c r="B406" s="9" t="s">
        <v>535</v>
      </c>
    </row>
    <row r="407" spans="1:2">
      <c r="B407" s="9" t="s">
        <v>890</v>
      </c>
    </row>
    <row r="408" spans="1:2">
      <c r="B408" s="9" t="s">
        <v>891</v>
      </c>
    </row>
    <row r="409" spans="1:2">
      <c r="B409" s="9" t="s">
        <v>1594</v>
      </c>
    </row>
    <row r="410" spans="1:2">
      <c r="A410" s="9" t="s">
        <v>2247</v>
      </c>
      <c r="B410" s="9" t="s">
        <v>1855</v>
      </c>
    </row>
    <row r="411" spans="1:2">
      <c r="A411" s="9" t="s">
        <v>2179</v>
      </c>
      <c r="B411" s="9" t="s">
        <v>1964</v>
      </c>
    </row>
    <row r="412" spans="1:2">
      <c r="B412" s="9" t="s">
        <v>796</v>
      </c>
    </row>
    <row r="413" spans="1:2">
      <c r="B413" s="9" t="s">
        <v>7</v>
      </c>
    </row>
    <row r="414" spans="1:2">
      <c r="B414" s="9" t="s">
        <v>897</v>
      </c>
    </row>
    <row r="415" spans="1:2">
      <c r="B415" s="9" t="s">
        <v>2182</v>
      </c>
    </row>
    <row r="416" spans="1:2">
      <c r="B416" s="9" t="s">
        <v>2183</v>
      </c>
    </row>
    <row r="417" spans="1:2">
      <c r="B417" s="9" t="s">
        <v>2184</v>
      </c>
    </row>
    <row r="418" spans="1:2">
      <c r="B418" s="9" t="s">
        <v>1561</v>
      </c>
    </row>
    <row r="419" spans="1:2">
      <c r="B419" s="9" t="s">
        <v>1854</v>
      </c>
    </row>
    <row r="420" spans="1:2">
      <c r="A420" s="9" t="s">
        <v>1566</v>
      </c>
      <c r="B420" s="9" t="s">
        <v>1562</v>
      </c>
    </row>
    <row r="422" spans="1:2">
      <c r="A422" s="9" t="s">
        <v>501</v>
      </c>
      <c r="B422" s="9" t="s">
        <v>791</v>
      </c>
    </row>
    <row r="423" spans="1:2">
      <c r="A423" s="9" t="s">
        <v>2248</v>
      </c>
      <c r="B423" s="9" t="s">
        <v>1926</v>
      </c>
    </row>
    <row r="424" spans="1:2">
      <c r="B424" s="9" t="s">
        <v>453</v>
      </c>
    </row>
    <row r="425" spans="1:2">
      <c r="B425" s="6" t="s">
        <v>1927</v>
      </c>
    </row>
    <row r="426" spans="1:2">
      <c r="A426" s="9" t="s">
        <v>452</v>
      </c>
      <c r="B426" s="6" t="s">
        <v>908</v>
      </c>
    </row>
    <row r="427" spans="1:2">
      <c r="A427" s="9" t="s">
        <v>2179</v>
      </c>
      <c r="B427" s="9" t="s">
        <v>502</v>
      </c>
    </row>
    <row r="428" spans="1:2">
      <c r="B428" s="9" t="s">
        <v>503</v>
      </c>
    </row>
    <row r="429" spans="1:2">
      <c r="B429" s="9" t="s">
        <v>504</v>
      </c>
    </row>
    <row r="430" spans="1:2">
      <c r="B430" s="9" t="s">
        <v>907</v>
      </c>
    </row>
    <row r="431" spans="1:2">
      <c r="B431" s="9" t="s">
        <v>1925</v>
      </c>
    </row>
    <row r="432" spans="1:2">
      <c r="B432" s="9" t="s">
        <v>906</v>
      </c>
    </row>
    <row r="434" spans="1:2">
      <c r="A434" s="9" t="s">
        <v>1478</v>
      </c>
      <c r="B434" s="9" t="s">
        <v>791</v>
      </c>
    </row>
    <row r="435" spans="1:2">
      <c r="A435" s="9" t="s">
        <v>2247</v>
      </c>
      <c r="B435" s="9" t="s">
        <v>1659</v>
      </c>
    </row>
    <row r="436" spans="1:2">
      <c r="B436" s="9" t="s">
        <v>1008</v>
      </c>
    </row>
    <row r="437" spans="1:2">
      <c r="A437" s="9" t="s">
        <v>2248</v>
      </c>
      <c r="B437" s="9" t="s">
        <v>1007</v>
      </c>
    </row>
    <row r="438" spans="1:2">
      <c r="B438" s="9" t="s">
        <v>1207</v>
      </c>
    </row>
    <row r="439" spans="1:2">
      <c r="B439" s="9" t="s">
        <v>1230</v>
      </c>
    </row>
    <row r="440" spans="1:2">
      <c r="B440" s="9" t="s">
        <v>1231</v>
      </c>
    </row>
    <row r="441" spans="1:2">
      <c r="B441" s="9" t="s">
        <v>1408</v>
      </c>
    </row>
    <row r="442" spans="1:2">
      <c r="B442" s="9" t="s">
        <v>1494</v>
      </c>
    </row>
    <row r="443" spans="1:2">
      <c r="B443" s="9" t="s">
        <v>1497</v>
      </c>
    </row>
    <row r="444" spans="1:2">
      <c r="B444" s="9" t="s">
        <v>1504</v>
      </c>
    </row>
    <row r="445" spans="1:2">
      <c r="B445" s="9" t="s">
        <v>1505</v>
      </c>
    </row>
    <row r="446" spans="1:2">
      <c r="B446" s="9" t="s">
        <v>1506</v>
      </c>
    </row>
    <row r="447" spans="1:2">
      <c r="B447" s="9" t="s">
        <v>1507</v>
      </c>
    </row>
    <row r="448" spans="1:2">
      <c r="B448" s="9" t="s">
        <v>1508</v>
      </c>
    </row>
    <row r="449" spans="1:2">
      <c r="B449" s="9" t="s">
        <v>1509</v>
      </c>
    </row>
    <row r="450" spans="1:2">
      <c r="A450" s="9" t="s">
        <v>1566</v>
      </c>
      <c r="B450" s="9" t="s">
        <v>1914</v>
      </c>
    </row>
    <row r="451" spans="1:2">
      <c r="B451" s="9" t="s">
        <v>1510</v>
      </c>
    </row>
    <row r="452" spans="1:2">
      <c r="A452" s="9" t="s">
        <v>2179</v>
      </c>
      <c r="B452" s="9" t="s">
        <v>1482</v>
      </c>
    </row>
    <row r="453" spans="1:2">
      <c r="B453" s="9" t="s">
        <v>1483</v>
      </c>
    </row>
    <row r="454" spans="1:2">
      <c r="B454" s="9" t="s">
        <v>1468</v>
      </c>
    </row>
    <row r="455" spans="1:2">
      <c r="B455" s="9" t="s">
        <v>136</v>
      </c>
    </row>
    <row r="457" spans="1:2">
      <c r="A457" s="9" t="s">
        <v>1479</v>
      </c>
      <c r="B457" s="9" t="s">
        <v>1480</v>
      </c>
    </row>
    <row r="458" spans="1:2">
      <c r="A458" s="9" t="s">
        <v>2248</v>
      </c>
      <c r="B458" s="9" t="s">
        <v>1481</v>
      </c>
    </row>
    <row r="460" spans="1:2">
      <c r="A460" s="9" t="s">
        <v>1062</v>
      </c>
      <c r="B460" s="9" t="s">
        <v>791</v>
      </c>
    </row>
    <row r="461" spans="1:2">
      <c r="A461" s="9" t="s">
        <v>2247</v>
      </c>
      <c r="B461" s="9" t="s">
        <v>1058</v>
      </c>
    </row>
    <row r="462" spans="1:2">
      <c r="A462" s="9" t="s">
        <v>2179</v>
      </c>
      <c r="B462" s="9" t="s">
        <v>283</v>
      </c>
    </row>
    <row r="463" spans="1:2">
      <c r="B463" s="9" t="s">
        <v>284</v>
      </c>
    </row>
    <row r="464" spans="1:2">
      <c r="B464" s="9" t="s">
        <v>285</v>
      </c>
    </row>
    <row r="465" spans="1:2">
      <c r="B465" s="9" t="s">
        <v>286</v>
      </c>
    </row>
    <row r="466" spans="1:2">
      <c r="B466" s="9" t="s">
        <v>287</v>
      </c>
    </row>
    <row r="467" spans="1:2">
      <c r="B467" s="9" t="s">
        <v>288</v>
      </c>
    </row>
    <row r="468" spans="1:2">
      <c r="B468" s="9" t="s">
        <v>289</v>
      </c>
    </row>
    <row r="469" spans="1:2">
      <c r="B469" s="9" t="s">
        <v>1024</v>
      </c>
    </row>
    <row r="470" spans="1:2">
      <c r="B470" s="9" t="s">
        <v>758</v>
      </c>
    </row>
    <row r="471" spans="1:2">
      <c r="B471" s="9" t="s">
        <v>759</v>
      </c>
    </row>
    <row r="472" spans="1:2">
      <c r="B472" s="9" t="s">
        <v>1059</v>
      </c>
    </row>
    <row r="473" spans="1:2">
      <c r="B473" s="9" t="s">
        <v>1061</v>
      </c>
    </row>
    <row r="474" spans="1:2">
      <c r="B474" s="9" t="s">
        <v>1060</v>
      </c>
    </row>
    <row r="476" spans="1:2">
      <c r="A476" s="9" t="s">
        <v>1126</v>
      </c>
      <c r="B476" s="9" t="s">
        <v>791</v>
      </c>
    </row>
    <row r="477" spans="1:2">
      <c r="A477" s="9" t="s">
        <v>2179</v>
      </c>
      <c r="B477" s="9" t="s">
        <v>1127</v>
      </c>
    </row>
    <row r="478" spans="1:2">
      <c r="B478" s="9" t="s">
        <v>1128</v>
      </c>
    </row>
    <row r="479" spans="1:2">
      <c r="A479" s="9" t="s">
        <v>2248</v>
      </c>
      <c r="B479" s="9" t="s">
        <v>1129</v>
      </c>
    </row>
    <row r="480" spans="1:2">
      <c r="B480" s="9" t="s">
        <v>868</v>
      </c>
    </row>
    <row r="482" spans="1:2">
      <c r="A482" s="9" t="s">
        <v>2264</v>
      </c>
      <c r="B482" s="9" t="s">
        <v>791</v>
      </c>
    </row>
    <row r="483" spans="1:2">
      <c r="A483" s="9" t="s">
        <v>2247</v>
      </c>
      <c r="B483" s="9" t="s">
        <v>160</v>
      </c>
    </row>
    <row r="485" spans="1:2">
      <c r="A485" s="9" t="s">
        <v>2263</v>
      </c>
      <c r="B485" s="9" t="s">
        <v>791</v>
      </c>
    </row>
    <row r="486" spans="1:2">
      <c r="A486" s="9" t="s">
        <v>2247</v>
      </c>
      <c r="B486" s="9" t="s">
        <v>1769</v>
      </c>
    </row>
    <row r="487" spans="1:2">
      <c r="B487" s="9" t="s">
        <v>1960</v>
      </c>
    </row>
    <row r="488" spans="1:2">
      <c r="A488" s="9" t="s">
        <v>2248</v>
      </c>
      <c r="B488" s="9" t="s">
        <v>165</v>
      </c>
    </row>
    <row r="489" spans="1:2">
      <c r="A489" s="9" t="s">
        <v>1566</v>
      </c>
      <c r="B489" s="9" t="s">
        <v>162</v>
      </c>
    </row>
    <row r="490" spans="1:2">
      <c r="B490" s="9" t="s">
        <v>1770</v>
      </c>
    </row>
    <row r="491" spans="1:2">
      <c r="A491" s="9" t="s">
        <v>2179</v>
      </c>
      <c r="B491" s="9" t="s">
        <v>531</v>
      </c>
    </row>
    <row r="492" spans="1:2">
      <c r="B492" s="9" t="s">
        <v>530</v>
      </c>
    </row>
    <row r="493" spans="1:2">
      <c r="B493" s="9" t="s">
        <v>230</v>
      </c>
    </row>
    <row r="494" spans="1:2">
      <c r="B494" s="9" t="s">
        <v>166</v>
      </c>
    </row>
    <row r="495" spans="1:2">
      <c r="B495" s="10" t="s">
        <v>1771</v>
      </c>
    </row>
    <row r="496" spans="1:2">
      <c r="B496" s="9" t="s">
        <v>1957</v>
      </c>
    </row>
    <row r="497" spans="1:256">
      <c r="B497" s="10" t="s">
        <v>1958</v>
      </c>
    </row>
    <row r="498" spans="1:256">
      <c r="B498" s="10" t="s">
        <v>1959</v>
      </c>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E498" s="9"/>
      <c r="BF498" s="9"/>
      <c r="BG498" s="9"/>
      <c r="BH498" s="9"/>
      <c r="BI498" s="9"/>
      <c r="BJ498" s="9"/>
      <c r="BK498" s="9"/>
      <c r="BL498" s="9"/>
      <c r="BM498" s="9"/>
      <c r="BN498" s="9"/>
      <c r="BO498" s="9"/>
      <c r="BP498" s="9"/>
      <c r="BQ498" s="9"/>
      <c r="BR498" s="9"/>
      <c r="BS498" s="9"/>
      <c r="BT498" s="9"/>
      <c r="BU498" s="9"/>
      <c r="BV498" s="9"/>
      <c r="BW498" s="9"/>
      <c r="BX498" s="9"/>
      <c r="BY498" s="9"/>
      <c r="BZ498" s="9"/>
      <c r="CA498" s="9"/>
      <c r="CB498" s="9"/>
      <c r="CC498" s="9"/>
      <c r="CD498" s="9"/>
      <c r="CE498" s="9"/>
      <c r="CF498" s="9"/>
      <c r="CG498" s="9"/>
      <c r="CH498" s="9"/>
      <c r="CI498" s="9"/>
      <c r="CJ498" s="9"/>
      <c r="CK498" s="9"/>
      <c r="CL498" s="9"/>
      <c r="CM498" s="9"/>
      <c r="CN498" s="9"/>
      <c r="CO498" s="9"/>
      <c r="CP498" s="9"/>
      <c r="CQ498" s="9"/>
      <c r="CR498" s="9"/>
      <c r="CS498" s="9"/>
      <c r="CT498" s="9"/>
      <c r="CU498" s="9"/>
      <c r="CV498" s="9"/>
      <c r="CW498" s="9"/>
      <c r="CX498" s="9"/>
      <c r="CY498" s="9"/>
      <c r="CZ498" s="9"/>
      <c r="DA498" s="9"/>
      <c r="DB498" s="9"/>
      <c r="DC498" s="9"/>
      <c r="DD498" s="9"/>
      <c r="DE498" s="9"/>
      <c r="DF498" s="9"/>
      <c r="DG498" s="9"/>
      <c r="DH498" s="9"/>
      <c r="DI498" s="9"/>
      <c r="DJ498" s="9"/>
      <c r="DK498" s="9"/>
      <c r="DL498" s="9"/>
      <c r="DM498" s="9"/>
      <c r="DN498" s="9"/>
      <c r="DO498" s="9"/>
      <c r="DP498" s="9"/>
      <c r="DQ498" s="9"/>
      <c r="DR498" s="9"/>
      <c r="DS498" s="9"/>
      <c r="DT498" s="9"/>
      <c r="DU498" s="9"/>
      <c r="DV498" s="9"/>
      <c r="DW498" s="9"/>
      <c r="DX498" s="9"/>
      <c r="DY498" s="9"/>
      <c r="DZ498" s="9"/>
      <c r="EA498" s="9"/>
      <c r="EB498" s="9"/>
      <c r="EC498" s="9"/>
      <c r="ED498" s="9"/>
      <c r="EE498" s="9"/>
      <c r="EF498" s="9"/>
      <c r="EG498" s="9"/>
      <c r="EH498" s="9"/>
      <c r="EI498" s="9"/>
      <c r="EJ498" s="9"/>
      <c r="EK498" s="9"/>
      <c r="EL498" s="9"/>
      <c r="EM498" s="9"/>
      <c r="EN498" s="9"/>
      <c r="EO498" s="9"/>
      <c r="EP498" s="9"/>
      <c r="EQ498" s="9"/>
      <c r="ER498" s="9"/>
      <c r="ES498" s="9"/>
      <c r="ET498" s="9"/>
      <c r="EU498" s="9"/>
      <c r="EV498" s="9"/>
      <c r="EW498" s="9"/>
      <c r="EX498" s="9"/>
      <c r="EY498" s="9"/>
      <c r="EZ498" s="9"/>
      <c r="FA498" s="9"/>
      <c r="FB498" s="9"/>
      <c r="FC498" s="9"/>
      <c r="FD498" s="9"/>
      <c r="FE498" s="9"/>
      <c r="FF498" s="9"/>
      <c r="FG498" s="9"/>
      <c r="FH498" s="9"/>
      <c r="FI498" s="9"/>
      <c r="FJ498" s="9"/>
      <c r="FK498" s="9"/>
      <c r="FL498" s="9"/>
      <c r="FM498" s="9"/>
      <c r="FN498" s="9"/>
      <c r="FO498" s="9"/>
      <c r="FP498" s="9"/>
      <c r="FQ498" s="9"/>
      <c r="FR498" s="9"/>
      <c r="FS498" s="9"/>
      <c r="FT498" s="9"/>
      <c r="FU498" s="9"/>
      <c r="FV498" s="9"/>
      <c r="FW498" s="9"/>
      <c r="FX498" s="9"/>
      <c r="FY498" s="9"/>
      <c r="FZ498" s="9"/>
      <c r="GA498" s="9"/>
      <c r="GB498" s="9"/>
      <c r="GC498" s="9"/>
      <c r="GD498" s="9"/>
      <c r="GE498" s="9"/>
      <c r="GF498" s="9"/>
      <c r="GG498" s="9"/>
      <c r="GH498" s="9"/>
      <c r="GI498" s="9"/>
      <c r="GJ498" s="9"/>
      <c r="GK498" s="9"/>
      <c r="GL498" s="9"/>
      <c r="GM498" s="9"/>
      <c r="GN498" s="9"/>
      <c r="GO498" s="9"/>
      <c r="GP498" s="9"/>
      <c r="GQ498" s="9"/>
      <c r="GR498" s="9"/>
      <c r="GS498" s="9"/>
      <c r="GT498" s="9"/>
      <c r="GU498" s="9"/>
      <c r="GV498" s="9"/>
      <c r="GW498" s="9"/>
      <c r="GX498" s="9"/>
      <c r="GY498" s="9"/>
      <c r="GZ498" s="9"/>
      <c r="HA498" s="9"/>
      <c r="HB498" s="9"/>
      <c r="HC498" s="9"/>
      <c r="HD498" s="9"/>
      <c r="HE498" s="9"/>
      <c r="HF498" s="9"/>
      <c r="HG498" s="9"/>
      <c r="HH498" s="9"/>
      <c r="HI498" s="9"/>
      <c r="HJ498" s="9"/>
      <c r="HK498" s="9"/>
      <c r="HL498" s="9"/>
      <c r="HM498" s="9"/>
      <c r="HN498" s="9"/>
      <c r="HO498" s="9"/>
      <c r="HP498" s="9"/>
      <c r="HQ498" s="9"/>
      <c r="HR498" s="9"/>
      <c r="HS498" s="9"/>
      <c r="HT498" s="9"/>
      <c r="HU498" s="9"/>
      <c r="HV498" s="9"/>
      <c r="HW498" s="9"/>
      <c r="HX498" s="9"/>
      <c r="HY498" s="9"/>
      <c r="HZ498" s="9"/>
      <c r="IA498" s="9"/>
      <c r="IB498" s="9"/>
      <c r="IC498" s="9"/>
      <c r="ID498" s="9"/>
      <c r="IE498" s="9"/>
      <c r="IF498" s="9"/>
      <c r="IG498" s="9"/>
      <c r="IH498" s="9"/>
      <c r="II498" s="9"/>
      <c r="IJ498" s="9"/>
      <c r="IK498" s="9"/>
      <c r="IL498" s="9"/>
      <c r="IM498" s="9"/>
      <c r="IN498" s="9"/>
      <c r="IO498" s="9"/>
      <c r="IP498" s="9"/>
      <c r="IQ498" s="9"/>
      <c r="IR498" s="9"/>
      <c r="IS498" s="9"/>
      <c r="IT498" s="9"/>
      <c r="IU498" s="9"/>
      <c r="IV498" s="9"/>
    </row>
    <row r="499" spans="1:256">
      <c r="B499" s="10" t="s">
        <v>1961</v>
      </c>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c r="BY499" s="9"/>
      <c r="BZ499" s="9"/>
      <c r="CA499" s="9"/>
      <c r="CB499" s="9"/>
      <c r="CC499" s="9"/>
      <c r="CD499" s="9"/>
      <c r="CE499" s="9"/>
      <c r="CF499" s="9"/>
      <c r="CG499" s="9"/>
      <c r="CH499" s="9"/>
      <c r="CI499" s="9"/>
      <c r="CJ499" s="9"/>
      <c r="CK499" s="9"/>
      <c r="CL499" s="9"/>
      <c r="CM499" s="9"/>
      <c r="CN499" s="9"/>
      <c r="CO499" s="9"/>
      <c r="CP499" s="9"/>
      <c r="CQ499" s="9"/>
      <c r="CR499" s="9"/>
      <c r="CS499" s="9"/>
      <c r="CT499" s="9"/>
      <c r="CU499" s="9"/>
      <c r="CV499" s="9"/>
      <c r="CW499" s="9"/>
      <c r="CX499" s="9"/>
      <c r="CY499" s="9"/>
      <c r="CZ499" s="9"/>
      <c r="DA499" s="9"/>
      <c r="DB499" s="9"/>
      <c r="DC499" s="9"/>
      <c r="DD499" s="9"/>
      <c r="DE499" s="9"/>
      <c r="DF499" s="9"/>
      <c r="DG499" s="9"/>
      <c r="DH499" s="9"/>
      <c r="DI499" s="9"/>
      <c r="DJ499" s="9"/>
      <c r="DK499" s="9"/>
      <c r="DL499" s="9"/>
      <c r="DM499" s="9"/>
      <c r="DN499" s="9"/>
      <c r="DO499" s="9"/>
      <c r="DP499" s="9"/>
      <c r="DQ499" s="9"/>
      <c r="DR499" s="9"/>
      <c r="DS499" s="9"/>
      <c r="DT499" s="9"/>
      <c r="DU499" s="9"/>
      <c r="DV499" s="9"/>
      <c r="DW499" s="9"/>
      <c r="DX499" s="9"/>
      <c r="DY499" s="9"/>
      <c r="DZ499" s="9"/>
      <c r="EA499" s="9"/>
      <c r="EB499" s="9"/>
      <c r="EC499" s="9"/>
      <c r="ED499" s="9"/>
      <c r="EE499" s="9"/>
      <c r="EF499" s="9"/>
      <c r="EG499" s="9"/>
      <c r="EH499" s="9"/>
      <c r="EI499" s="9"/>
      <c r="EJ499" s="9"/>
      <c r="EK499" s="9"/>
      <c r="EL499" s="9"/>
      <c r="EM499" s="9"/>
      <c r="EN499" s="9"/>
      <c r="EO499" s="9"/>
      <c r="EP499" s="9"/>
      <c r="EQ499" s="9"/>
      <c r="ER499" s="9"/>
      <c r="ES499" s="9"/>
      <c r="ET499" s="9"/>
      <c r="EU499" s="9"/>
      <c r="EV499" s="9"/>
      <c r="EW499" s="9"/>
      <c r="EX499" s="9"/>
      <c r="EY499" s="9"/>
      <c r="EZ499" s="9"/>
      <c r="FA499" s="9"/>
      <c r="FB499" s="9"/>
      <c r="FC499" s="9"/>
      <c r="FD499" s="9"/>
      <c r="FE499" s="9"/>
      <c r="FF499" s="9"/>
      <c r="FG499" s="9"/>
      <c r="FH499" s="9"/>
      <c r="FI499" s="9"/>
      <c r="FJ499" s="9"/>
      <c r="FK499" s="9"/>
      <c r="FL499" s="9"/>
      <c r="FM499" s="9"/>
      <c r="FN499" s="9"/>
      <c r="FO499" s="9"/>
      <c r="FP499" s="9"/>
      <c r="FQ499" s="9"/>
      <c r="FR499" s="9"/>
      <c r="FS499" s="9"/>
      <c r="FT499" s="9"/>
      <c r="FU499" s="9"/>
      <c r="FV499" s="9"/>
      <c r="FW499" s="9"/>
      <c r="FX499" s="9"/>
      <c r="FY499" s="9"/>
      <c r="FZ499" s="9"/>
      <c r="GA499" s="9"/>
      <c r="GB499" s="9"/>
      <c r="GC499" s="9"/>
      <c r="GD499" s="9"/>
      <c r="GE499" s="9"/>
      <c r="GF499" s="9"/>
      <c r="GG499" s="9"/>
      <c r="GH499" s="9"/>
      <c r="GI499" s="9"/>
      <c r="GJ499" s="9"/>
      <c r="GK499" s="9"/>
      <c r="GL499" s="9"/>
      <c r="GM499" s="9"/>
      <c r="GN499" s="9"/>
      <c r="GO499" s="9"/>
      <c r="GP499" s="9"/>
      <c r="GQ499" s="9"/>
      <c r="GR499" s="9"/>
      <c r="GS499" s="9"/>
      <c r="GT499" s="9"/>
      <c r="GU499" s="9"/>
      <c r="GV499" s="9"/>
      <c r="GW499" s="9"/>
      <c r="GX499" s="9"/>
      <c r="GY499" s="9"/>
      <c r="GZ499" s="9"/>
      <c r="HA499" s="9"/>
      <c r="HB499" s="9"/>
      <c r="HC499" s="9"/>
      <c r="HD499" s="9"/>
      <c r="HE499" s="9"/>
      <c r="HF499" s="9"/>
      <c r="HG499" s="9"/>
      <c r="HH499" s="9"/>
      <c r="HI499" s="9"/>
      <c r="HJ499" s="9"/>
      <c r="HK499" s="9"/>
      <c r="HL499" s="9"/>
      <c r="HM499" s="9"/>
      <c r="HN499" s="9"/>
      <c r="HO499" s="9"/>
      <c r="HP499" s="9"/>
      <c r="HQ499" s="9"/>
      <c r="HR499" s="9"/>
      <c r="HS499" s="9"/>
      <c r="HT499" s="9"/>
      <c r="HU499" s="9"/>
      <c r="HV499" s="9"/>
      <c r="HW499" s="9"/>
      <c r="HX499" s="9"/>
      <c r="HY499" s="9"/>
      <c r="HZ499" s="9"/>
      <c r="IA499" s="9"/>
      <c r="IB499" s="9"/>
      <c r="IC499" s="9"/>
      <c r="ID499" s="9"/>
      <c r="IE499" s="9"/>
      <c r="IF499" s="9"/>
      <c r="IG499" s="9"/>
      <c r="IH499" s="9"/>
      <c r="II499" s="9"/>
      <c r="IJ499" s="9"/>
      <c r="IK499" s="9"/>
      <c r="IL499" s="9"/>
      <c r="IM499" s="9"/>
      <c r="IN499" s="9"/>
      <c r="IO499" s="9"/>
      <c r="IP499" s="9"/>
      <c r="IQ499" s="9"/>
      <c r="IR499" s="9"/>
      <c r="IS499" s="9"/>
      <c r="IT499" s="9"/>
      <c r="IU499" s="9"/>
      <c r="IV499" s="9"/>
    </row>
    <row r="500" spans="1:256">
      <c r="B500" s="10" t="s">
        <v>1962</v>
      </c>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c r="BY500" s="9"/>
      <c r="BZ500" s="9"/>
      <c r="CA500" s="9"/>
      <c r="CB500" s="9"/>
      <c r="CC500" s="9"/>
      <c r="CD500" s="9"/>
      <c r="CE500" s="9"/>
      <c r="CF500" s="9"/>
      <c r="CG500" s="9"/>
      <c r="CH500" s="9"/>
      <c r="CI500" s="9"/>
      <c r="CJ500" s="9"/>
      <c r="CK500" s="9"/>
      <c r="CL500" s="9"/>
      <c r="CM500" s="9"/>
      <c r="CN500" s="9"/>
      <c r="CO500" s="9"/>
      <c r="CP500" s="9"/>
      <c r="CQ500" s="9"/>
      <c r="CR500" s="9"/>
      <c r="CS500" s="9"/>
      <c r="CT500" s="9"/>
      <c r="CU500" s="9"/>
      <c r="CV500" s="9"/>
      <c r="CW500" s="9"/>
      <c r="CX500" s="9"/>
      <c r="CY500" s="9"/>
      <c r="CZ500" s="9"/>
      <c r="DA500" s="9"/>
      <c r="DB500" s="9"/>
      <c r="DC500" s="9"/>
      <c r="DD500" s="9"/>
      <c r="DE500" s="9"/>
      <c r="DF500" s="9"/>
      <c r="DG500" s="9"/>
      <c r="DH500" s="9"/>
      <c r="DI500" s="9"/>
      <c r="DJ500" s="9"/>
      <c r="DK500" s="9"/>
      <c r="DL500" s="9"/>
      <c r="DM500" s="9"/>
      <c r="DN500" s="9"/>
      <c r="DO500" s="9"/>
      <c r="DP500" s="9"/>
      <c r="DQ500" s="9"/>
      <c r="DR500" s="9"/>
      <c r="DS500" s="9"/>
      <c r="DT500" s="9"/>
      <c r="DU500" s="9"/>
      <c r="DV500" s="9"/>
      <c r="DW500" s="9"/>
      <c r="DX500" s="9"/>
      <c r="DY500" s="9"/>
      <c r="DZ500" s="9"/>
      <c r="EA500" s="9"/>
      <c r="EB500" s="9"/>
      <c r="EC500" s="9"/>
      <c r="ED500" s="9"/>
      <c r="EE500" s="9"/>
      <c r="EF500" s="9"/>
      <c r="EG500" s="9"/>
      <c r="EH500" s="9"/>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c r="FW500" s="9"/>
      <c r="FX500" s="9"/>
      <c r="FY500" s="9"/>
      <c r="FZ500" s="9"/>
      <c r="GA500" s="9"/>
      <c r="GB500" s="9"/>
      <c r="GC500" s="9"/>
      <c r="GD500" s="9"/>
      <c r="GE500" s="9"/>
      <c r="GF500" s="9"/>
      <c r="GG500" s="9"/>
      <c r="GH500" s="9"/>
      <c r="GI500" s="9"/>
      <c r="GJ500" s="9"/>
      <c r="GK500" s="9"/>
      <c r="GL500" s="9"/>
      <c r="GM500" s="9"/>
      <c r="GN500" s="9"/>
      <c r="GO500" s="9"/>
      <c r="GP500" s="9"/>
      <c r="GQ500" s="9"/>
      <c r="GR500" s="9"/>
      <c r="GS500" s="9"/>
      <c r="GT500" s="9"/>
      <c r="GU500" s="9"/>
      <c r="GV500" s="9"/>
      <c r="GW500" s="9"/>
      <c r="GX500" s="9"/>
      <c r="GY500" s="9"/>
      <c r="GZ500" s="9"/>
      <c r="HA500" s="9"/>
      <c r="HB500" s="9"/>
      <c r="HC500" s="9"/>
      <c r="HD500" s="9"/>
      <c r="HE500" s="9"/>
      <c r="HF500" s="9"/>
      <c r="HG500" s="9"/>
      <c r="HH500" s="9"/>
      <c r="HI500" s="9"/>
      <c r="HJ500" s="9"/>
      <c r="HK500" s="9"/>
      <c r="HL500" s="9"/>
      <c r="HM500" s="9"/>
      <c r="HN500" s="9"/>
      <c r="HO500" s="9"/>
      <c r="HP500" s="9"/>
      <c r="HQ500" s="9"/>
      <c r="HR500" s="9"/>
      <c r="HS500" s="9"/>
      <c r="HT500" s="9"/>
      <c r="HU500" s="9"/>
      <c r="HV500" s="9"/>
      <c r="HW500" s="9"/>
      <c r="HX500" s="9"/>
      <c r="HY500" s="9"/>
      <c r="HZ500" s="9"/>
      <c r="IA500" s="9"/>
      <c r="IB500" s="9"/>
      <c r="IC500" s="9"/>
      <c r="ID500" s="9"/>
      <c r="IE500" s="9"/>
      <c r="IF500" s="9"/>
      <c r="IG500" s="9"/>
      <c r="IH500" s="9"/>
      <c r="II500" s="9"/>
      <c r="IJ500" s="9"/>
      <c r="IK500" s="9"/>
      <c r="IL500" s="9"/>
      <c r="IM500" s="9"/>
      <c r="IN500" s="9"/>
      <c r="IO500" s="9"/>
      <c r="IP500" s="9"/>
      <c r="IQ500" s="9"/>
      <c r="IR500" s="9"/>
      <c r="IS500" s="9"/>
      <c r="IT500" s="9"/>
      <c r="IU500" s="9"/>
      <c r="IV500" s="9"/>
    </row>
    <row r="501" spans="1:256">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E501" s="9"/>
      <c r="BF501" s="9"/>
      <c r="BG501" s="9"/>
      <c r="BH501" s="9"/>
      <c r="BI501" s="9"/>
      <c r="BJ501" s="9"/>
      <c r="BK501" s="9"/>
      <c r="BL501" s="9"/>
      <c r="BM501" s="9"/>
      <c r="BN501" s="9"/>
      <c r="BO501" s="9"/>
      <c r="BP501" s="9"/>
      <c r="BQ501" s="9"/>
      <c r="BR501" s="9"/>
      <c r="BS501" s="9"/>
      <c r="BT501" s="9"/>
      <c r="BU501" s="9"/>
      <c r="BV501" s="9"/>
      <c r="BW501" s="9"/>
      <c r="BX501" s="9"/>
      <c r="BY501" s="9"/>
      <c r="BZ501" s="9"/>
      <c r="CA501" s="9"/>
      <c r="CB501" s="9"/>
      <c r="CC501" s="9"/>
      <c r="CD501" s="9"/>
      <c r="CE501" s="9"/>
      <c r="CF501" s="9"/>
      <c r="CG501" s="9"/>
      <c r="CH501" s="9"/>
      <c r="CI501" s="9"/>
      <c r="CJ501" s="9"/>
      <c r="CK501" s="9"/>
      <c r="CL501" s="9"/>
      <c r="CM501" s="9"/>
      <c r="CN501" s="9"/>
      <c r="CO501" s="9"/>
      <c r="CP501" s="9"/>
      <c r="CQ501" s="9"/>
      <c r="CR501" s="9"/>
      <c r="CS501" s="9"/>
      <c r="CT501" s="9"/>
      <c r="CU501" s="9"/>
      <c r="CV501" s="9"/>
      <c r="CW501" s="9"/>
      <c r="CX501" s="9"/>
      <c r="CY501" s="9"/>
      <c r="CZ501" s="9"/>
      <c r="DA501" s="9"/>
      <c r="DB501" s="9"/>
      <c r="DC501" s="9"/>
      <c r="DD501" s="9"/>
      <c r="DE501" s="9"/>
      <c r="DF501" s="9"/>
      <c r="DG501" s="9"/>
      <c r="DH501" s="9"/>
      <c r="DI501" s="9"/>
      <c r="DJ501" s="9"/>
      <c r="DK501" s="9"/>
      <c r="DL501" s="9"/>
      <c r="DM501" s="9"/>
      <c r="DN501" s="9"/>
      <c r="DO501" s="9"/>
      <c r="DP501" s="9"/>
      <c r="DQ501" s="9"/>
      <c r="DR501" s="9"/>
      <c r="DS501" s="9"/>
      <c r="DT501" s="9"/>
      <c r="DU501" s="9"/>
      <c r="DV501" s="9"/>
      <c r="DW501" s="9"/>
      <c r="DX501" s="9"/>
      <c r="DY501" s="9"/>
      <c r="DZ501" s="9"/>
      <c r="EA501" s="9"/>
      <c r="EB501" s="9"/>
      <c r="EC501" s="9"/>
      <c r="ED501" s="9"/>
      <c r="EE501" s="9"/>
      <c r="EF501" s="9"/>
      <c r="EG501" s="9"/>
      <c r="EH501" s="9"/>
      <c r="EI501" s="9"/>
      <c r="EJ501" s="9"/>
      <c r="EK501" s="9"/>
      <c r="EL501" s="9"/>
      <c r="EM501" s="9"/>
      <c r="EN501" s="9"/>
      <c r="EO501" s="9"/>
      <c r="EP501" s="9"/>
      <c r="EQ501" s="9"/>
      <c r="ER501" s="9"/>
      <c r="ES501" s="9"/>
      <c r="ET501" s="9"/>
      <c r="EU501" s="9"/>
      <c r="EV501" s="9"/>
      <c r="EW501" s="9"/>
      <c r="EX501" s="9"/>
      <c r="EY501" s="9"/>
      <c r="EZ501" s="9"/>
      <c r="FA501" s="9"/>
      <c r="FB501" s="9"/>
      <c r="FC501" s="9"/>
      <c r="FD501" s="9"/>
      <c r="FE501" s="9"/>
      <c r="FF501" s="9"/>
      <c r="FG501" s="9"/>
      <c r="FH501" s="9"/>
      <c r="FI501" s="9"/>
      <c r="FJ501" s="9"/>
      <c r="FK501" s="9"/>
      <c r="FL501" s="9"/>
      <c r="FM501" s="9"/>
      <c r="FN501" s="9"/>
      <c r="FO501" s="9"/>
      <c r="FP501" s="9"/>
      <c r="FQ501" s="9"/>
      <c r="FR501" s="9"/>
      <c r="FS501" s="9"/>
      <c r="FT501" s="9"/>
      <c r="FU501" s="9"/>
      <c r="FV501" s="9"/>
      <c r="FW501" s="9"/>
      <c r="FX501" s="9"/>
      <c r="FY501" s="9"/>
      <c r="FZ501" s="9"/>
      <c r="GA501" s="9"/>
      <c r="GB501" s="9"/>
      <c r="GC501" s="9"/>
      <c r="GD501" s="9"/>
      <c r="GE501" s="9"/>
      <c r="GF501" s="9"/>
      <c r="GG501" s="9"/>
      <c r="GH501" s="9"/>
      <c r="GI501" s="9"/>
      <c r="GJ501" s="9"/>
      <c r="GK501" s="9"/>
      <c r="GL501" s="9"/>
      <c r="GM501" s="9"/>
      <c r="GN501" s="9"/>
      <c r="GO501" s="9"/>
      <c r="GP501" s="9"/>
      <c r="GQ501" s="9"/>
      <c r="GR501" s="9"/>
      <c r="GS501" s="9"/>
      <c r="GT501" s="9"/>
      <c r="GU501" s="9"/>
      <c r="GV501" s="9"/>
      <c r="GW501" s="9"/>
      <c r="GX501" s="9"/>
      <c r="GY501" s="9"/>
      <c r="GZ501" s="9"/>
      <c r="HA501" s="9"/>
      <c r="HB501" s="9"/>
      <c r="HC501" s="9"/>
      <c r="HD501" s="9"/>
      <c r="HE501" s="9"/>
      <c r="HF501" s="9"/>
      <c r="HG501" s="9"/>
      <c r="HH501" s="9"/>
      <c r="HI501" s="9"/>
      <c r="HJ501" s="9"/>
      <c r="HK501" s="9"/>
      <c r="HL501" s="9"/>
      <c r="HM501" s="9"/>
      <c r="HN501" s="9"/>
      <c r="HO501" s="9"/>
      <c r="HP501" s="9"/>
      <c r="HQ501" s="9"/>
      <c r="HR501" s="9"/>
      <c r="HS501" s="9"/>
      <c r="HT501" s="9"/>
      <c r="HU501" s="9"/>
      <c r="HV501" s="9"/>
      <c r="HW501" s="9"/>
      <c r="HX501" s="9"/>
      <c r="HY501" s="9"/>
      <c r="HZ501" s="9"/>
      <c r="IA501" s="9"/>
      <c r="IB501" s="9"/>
      <c r="IC501" s="9"/>
      <c r="ID501" s="9"/>
      <c r="IE501" s="9"/>
      <c r="IF501" s="9"/>
      <c r="IG501" s="9"/>
      <c r="IH501" s="9"/>
      <c r="II501" s="9"/>
      <c r="IJ501" s="9"/>
      <c r="IK501" s="9"/>
      <c r="IL501" s="9"/>
      <c r="IM501" s="9"/>
      <c r="IN501" s="9"/>
      <c r="IO501" s="9"/>
      <c r="IP501" s="9"/>
      <c r="IQ501" s="9"/>
      <c r="IR501" s="9"/>
      <c r="IS501" s="9"/>
      <c r="IT501" s="9"/>
      <c r="IU501" s="9"/>
      <c r="IV501" s="9"/>
    </row>
    <row r="502" spans="1:256">
      <c r="A502" s="9" t="s">
        <v>824</v>
      </c>
      <c r="B502" s="9" t="s">
        <v>1672</v>
      </c>
      <c r="C502" s="9"/>
      <c r="D502" s="10"/>
      <c r="E502" s="9"/>
      <c r="F502" s="10"/>
      <c r="G502" s="9"/>
      <c r="H502" s="10"/>
      <c r="I502" s="9"/>
      <c r="J502" s="10"/>
      <c r="K502" s="9"/>
      <c r="L502" s="10"/>
      <c r="M502" s="9"/>
      <c r="N502" s="10"/>
      <c r="O502" s="9"/>
      <c r="P502" s="10"/>
      <c r="Q502" s="9"/>
      <c r="R502" s="10"/>
      <c r="S502" s="9"/>
      <c r="T502" s="10"/>
      <c r="U502" s="9"/>
      <c r="V502" s="10"/>
      <c r="W502" s="9"/>
      <c r="X502" s="10"/>
      <c r="Y502" s="9"/>
      <c r="Z502" s="10"/>
      <c r="AA502" s="9"/>
      <c r="AB502" s="10"/>
      <c r="AC502" s="9"/>
      <c r="AD502" s="10"/>
      <c r="AE502" s="9"/>
      <c r="AF502" s="10"/>
      <c r="AG502" s="9"/>
      <c r="AH502" s="10"/>
      <c r="AI502" s="9"/>
      <c r="AJ502" s="10"/>
      <c r="AK502" s="9"/>
      <c r="AL502" s="10"/>
      <c r="AM502" s="9"/>
      <c r="AN502" s="10"/>
      <c r="AO502" s="9"/>
      <c r="AP502" s="10"/>
      <c r="AQ502" s="9"/>
      <c r="AR502" s="10"/>
      <c r="AS502" s="9"/>
      <c r="AT502" s="10"/>
      <c r="AU502" s="9"/>
      <c r="AV502" s="10"/>
      <c r="AW502" s="9"/>
      <c r="AX502" s="10"/>
      <c r="AY502" s="9"/>
      <c r="AZ502" s="10"/>
      <c r="BA502" s="9"/>
      <c r="BB502" s="10"/>
      <c r="BC502" s="9"/>
      <c r="BD502" s="10"/>
      <c r="BE502" s="9"/>
      <c r="BF502" s="10"/>
      <c r="BG502" s="9"/>
      <c r="BH502" s="10"/>
      <c r="BI502" s="9"/>
      <c r="BJ502" s="10"/>
      <c r="BK502" s="9"/>
      <c r="BL502" s="10"/>
      <c r="BM502" s="9"/>
      <c r="BN502" s="10"/>
      <c r="BO502" s="9"/>
      <c r="BP502" s="10"/>
      <c r="BQ502" s="9"/>
      <c r="BR502" s="10"/>
      <c r="BS502" s="9"/>
      <c r="BT502" s="10"/>
      <c r="BU502" s="9"/>
      <c r="BV502" s="10"/>
      <c r="BW502" s="9"/>
      <c r="BX502" s="10"/>
      <c r="BY502" s="9"/>
      <c r="BZ502" s="10"/>
      <c r="CA502" s="9"/>
      <c r="CB502" s="10"/>
      <c r="CC502" s="9"/>
      <c r="CD502" s="10"/>
      <c r="CE502" s="9"/>
      <c r="CF502" s="10"/>
      <c r="CG502" s="9"/>
      <c r="CH502" s="10"/>
      <c r="CI502" s="9"/>
      <c r="CJ502" s="10"/>
      <c r="CK502" s="9"/>
      <c r="CL502" s="10"/>
      <c r="CM502" s="9"/>
      <c r="CN502" s="10"/>
      <c r="CO502" s="9"/>
      <c r="CP502" s="10"/>
      <c r="CQ502" s="9"/>
      <c r="CR502" s="10"/>
      <c r="CS502" s="9"/>
      <c r="CT502" s="10"/>
      <c r="CU502" s="9"/>
      <c r="CV502" s="10"/>
      <c r="CW502" s="9"/>
      <c r="CX502" s="10"/>
      <c r="CY502" s="9"/>
      <c r="CZ502" s="10"/>
      <c r="DA502" s="9"/>
      <c r="DB502" s="10"/>
      <c r="DC502" s="9"/>
      <c r="DD502" s="10"/>
      <c r="DE502" s="9"/>
      <c r="DF502" s="10"/>
      <c r="DG502" s="9"/>
      <c r="DH502" s="10"/>
      <c r="DI502" s="9"/>
      <c r="DJ502" s="10"/>
      <c r="DK502" s="9"/>
      <c r="DL502" s="10"/>
      <c r="DM502" s="9"/>
      <c r="DN502" s="10"/>
      <c r="DO502" s="9"/>
      <c r="DP502" s="10"/>
      <c r="DQ502" s="9"/>
      <c r="DR502" s="10"/>
      <c r="DS502" s="9"/>
      <c r="DT502" s="10"/>
      <c r="DU502" s="9"/>
      <c r="DV502" s="10"/>
      <c r="DW502" s="9"/>
      <c r="DX502" s="10"/>
      <c r="DY502" s="9"/>
      <c r="DZ502" s="10"/>
      <c r="EA502" s="9"/>
      <c r="EB502" s="10"/>
      <c r="EC502" s="9"/>
      <c r="ED502" s="10"/>
      <c r="EE502" s="9"/>
      <c r="EF502" s="10"/>
      <c r="EG502" s="9"/>
      <c r="EH502" s="10"/>
      <c r="EI502" s="9"/>
      <c r="EJ502" s="10"/>
      <c r="EK502" s="9"/>
      <c r="EL502" s="10"/>
      <c r="EM502" s="9"/>
      <c r="EN502" s="10"/>
      <c r="EO502" s="9"/>
      <c r="EP502" s="10"/>
      <c r="EQ502" s="9"/>
      <c r="ER502" s="10"/>
      <c r="ES502" s="9"/>
      <c r="ET502" s="10"/>
      <c r="EU502" s="9"/>
      <c r="EV502" s="10"/>
      <c r="EW502" s="9"/>
      <c r="EX502" s="10"/>
      <c r="EY502" s="9"/>
      <c r="EZ502" s="10"/>
      <c r="FA502" s="9"/>
      <c r="FB502" s="10"/>
      <c r="FC502" s="9"/>
      <c r="FD502" s="10"/>
      <c r="FE502" s="9"/>
      <c r="FF502" s="10"/>
      <c r="FG502" s="9"/>
      <c r="FH502" s="10"/>
      <c r="FI502" s="9"/>
      <c r="FJ502" s="10"/>
      <c r="FK502" s="9"/>
      <c r="FL502" s="10"/>
      <c r="FM502" s="9"/>
      <c r="FN502" s="10"/>
      <c r="FO502" s="9"/>
      <c r="FP502" s="10"/>
      <c r="FQ502" s="9"/>
      <c r="FR502" s="10"/>
      <c r="FS502" s="9"/>
      <c r="FT502" s="10"/>
      <c r="FU502" s="9"/>
      <c r="FV502" s="10"/>
      <c r="FW502" s="9"/>
      <c r="FX502" s="10"/>
      <c r="FY502" s="9"/>
      <c r="FZ502" s="10"/>
      <c r="GA502" s="9"/>
      <c r="GB502" s="10"/>
      <c r="GC502" s="9"/>
      <c r="GD502" s="10"/>
      <c r="GE502" s="9"/>
      <c r="GF502" s="10"/>
      <c r="GG502" s="9"/>
      <c r="GH502" s="10"/>
      <c r="GI502" s="9"/>
      <c r="GJ502" s="10"/>
      <c r="GK502" s="9"/>
      <c r="GL502" s="10"/>
      <c r="GM502" s="9"/>
      <c r="GN502" s="10"/>
      <c r="GO502" s="9"/>
      <c r="GP502" s="10"/>
      <c r="GQ502" s="9"/>
      <c r="GR502" s="10"/>
      <c r="GS502" s="9"/>
      <c r="GT502" s="10"/>
      <c r="GU502" s="9"/>
      <c r="GV502" s="10"/>
      <c r="GW502" s="9"/>
      <c r="GX502" s="10"/>
      <c r="GY502" s="9"/>
      <c r="GZ502" s="10"/>
      <c r="HA502" s="9"/>
      <c r="HB502" s="10"/>
      <c r="HC502" s="9"/>
      <c r="HD502" s="10"/>
      <c r="HE502" s="9"/>
      <c r="HF502" s="10"/>
      <c r="HG502" s="9"/>
      <c r="HH502" s="10"/>
      <c r="HI502" s="9"/>
      <c r="HJ502" s="10"/>
      <c r="HK502" s="9"/>
      <c r="HL502" s="10"/>
      <c r="HM502" s="9"/>
      <c r="HN502" s="10"/>
      <c r="HO502" s="9"/>
      <c r="HP502" s="10"/>
      <c r="HQ502" s="9"/>
      <c r="HR502" s="10"/>
      <c r="HS502" s="9"/>
      <c r="HT502" s="10"/>
      <c r="HU502" s="9"/>
      <c r="HV502" s="10"/>
      <c r="HW502" s="9"/>
      <c r="HX502" s="10"/>
      <c r="HY502" s="9"/>
      <c r="HZ502" s="10"/>
      <c r="IA502" s="9"/>
      <c r="IB502" s="10"/>
      <c r="IC502" s="9"/>
      <c r="ID502" s="10"/>
      <c r="IE502" s="9"/>
      <c r="IF502" s="10"/>
      <c r="IG502" s="9"/>
      <c r="IH502" s="10"/>
      <c r="II502" s="9"/>
      <c r="IJ502" s="10"/>
      <c r="IK502" s="9"/>
      <c r="IL502" s="10"/>
      <c r="IM502" s="9"/>
      <c r="IN502" s="10"/>
      <c r="IO502" s="9"/>
      <c r="IP502" s="10"/>
      <c r="IQ502" s="9"/>
      <c r="IR502" s="10"/>
      <c r="IS502" s="9"/>
      <c r="IT502" s="10"/>
      <c r="IU502" s="9"/>
      <c r="IV502" s="10"/>
    </row>
    <row r="503" spans="1:256">
      <c r="A503" s="9" t="s">
        <v>2247</v>
      </c>
      <c r="B503" s="9" t="s">
        <v>1673</v>
      </c>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E503" s="9"/>
      <c r="BF503" s="9"/>
      <c r="BG503" s="9"/>
      <c r="BH503" s="9"/>
      <c r="BI503" s="9"/>
      <c r="BJ503" s="9"/>
      <c r="BK503" s="9"/>
      <c r="BL503" s="9"/>
      <c r="BM503" s="9"/>
      <c r="BN503" s="9"/>
      <c r="BO503" s="9"/>
      <c r="BP503" s="9"/>
      <c r="BQ503" s="9"/>
      <c r="BR503" s="9"/>
      <c r="BS503" s="9"/>
      <c r="BT503" s="9"/>
      <c r="BU503" s="9"/>
      <c r="BV503" s="9"/>
      <c r="BW503" s="9"/>
      <c r="BX503" s="9"/>
      <c r="BY503" s="9"/>
      <c r="BZ503" s="9"/>
      <c r="CA503" s="9"/>
      <c r="CB503" s="9"/>
      <c r="CC503" s="9"/>
      <c r="CD503" s="9"/>
      <c r="CE503" s="9"/>
      <c r="CF503" s="9"/>
      <c r="CG503" s="9"/>
      <c r="CH503" s="9"/>
      <c r="CI503" s="9"/>
      <c r="CJ503" s="9"/>
      <c r="CK503" s="9"/>
      <c r="CL503" s="9"/>
      <c r="CM503" s="9"/>
      <c r="CN503" s="9"/>
      <c r="CO503" s="9"/>
      <c r="CP503" s="9"/>
      <c r="CQ503" s="9"/>
      <c r="CR503" s="9"/>
      <c r="CS503" s="9"/>
      <c r="CT503" s="9"/>
      <c r="CU503" s="9"/>
      <c r="CV503" s="9"/>
      <c r="CW503" s="9"/>
      <c r="CX503" s="9"/>
      <c r="CY503" s="9"/>
      <c r="CZ503" s="9"/>
      <c r="DA503" s="9"/>
      <c r="DB503" s="9"/>
      <c r="DC503" s="9"/>
      <c r="DD503" s="9"/>
      <c r="DE503" s="9"/>
      <c r="DF503" s="9"/>
      <c r="DG503" s="9"/>
      <c r="DH503" s="9"/>
      <c r="DI503" s="9"/>
      <c r="DJ503" s="9"/>
      <c r="DK503" s="9"/>
      <c r="DL503" s="9"/>
      <c r="DM503" s="9"/>
      <c r="DN503" s="9"/>
      <c r="DO503" s="9"/>
      <c r="DP503" s="9"/>
      <c r="DQ503" s="9"/>
      <c r="DR503" s="9"/>
      <c r="DS503" s="9"/>
      <c r="DT503" s="9"/>
      <c r="DU503" s="9"/>
      <c r="DV503" s="9"/>
      <c r="DW503" s="9"/>
      <c r="DX503" s="9"/>
      <c r="DY503" s="9"/>
      <c r="DZ503" s="9"/>
      <c r="EA503" s="9"/>
      <c r="EB503" s="9"/>
      <c r="EC503" s="9"/>
      <c r="ED503" s="9"/>
      <c r="EE503" s="9"/>
      <c r="EF503" s="9"/>
      <c r="EG503" s="9"/>
      <c r="EH503" s="9"/>
      <c r="EI503" s="9"/>
      <c r="EJ503" s="9"/>
      <c r="EK503" s="9"/>
      <c r="EL503" s="9"/>
      <c r="EM503" s="9"/>
      <c r="EN503" s="9"/>
      <c r="EO503" s="9"/>
      <c r="EP503" s="9"/>
      <c r="EQ503" s="9"/>
      <c r="ER503" s="9"/>
      <c r="ES503" s="9"/>
      <c r="ET503" s="9"/>
      <c r="EU503" s="9"/>
      <c r="EV503" s="9"/>
      <c r="EW503" s="9"/>
      <c r="EX503" s="9"/>
      <c r="EY503" s="9"/>
      <c r="EZ503" s="9"/>
      <c r="FA503" s="9"/>
      <c r="FB503" s="9"/>
      <c r="FC503" s="9"/>
      <c r="FD503" s="9"/>
      <c r="FE503" s="9"/>
      <c r="FF503" s="9"/>
      <c r="FG503" s="9"/>
      <c r="FH503" s="9"/>
      <c r="FI503" s="9"/>
      <c r="FJ503" s="9"/>
      <c r="FK503" s="9"/>
      <c r="FL503" s="9"/>
      <c r="FM503" s="9"/>
      <c r="FN503" s="9"/>
      <c r="FO503" s="9"/>
      <c r="FP503" s="9"/>
      <c r="FQ503" s="9"/>
      <c r="FR503" s="9"/>
      <c r="FS503" s="9"/>
      <c r="FT503" s="9"/>
      <c r="FU503" s="9"/>
      <c r="FV503" s="9"/>
      <c r="FW503" s="9"/>
      <c r="FX503" s="9"/>
      <c r="FY503" s="9"/>
      <c r="FZ503" s="9"/>
      <c r="GA503" s="9"/>
      <c r="GB503" s="9"/>
      <c r="GC503" s="9"/>
      <c r="GD503" s="9"/>
      <c r="GE503" s="9"/>
      <c r="GF503" s="9"/>
      <c r="GG503" s="9"/>
      <c r="GH503" s="9"/>
      <c r="GI503" s="9"/>
      <c r="GJ503" s="9"/>
      <c r="GK503" s="9"/>
      <c r="GL503" s="9"/>
      <c r="GM503" s="9"/>
      <c r="GN503" s="9"/>
      <c r="GO503" s="9"/>
      <c r="GP503" s="9"/>
      <c r="GQ503" s="9"/>
      <c r="GR503" s="9"/>
      <c r="GS503" s="9"/>
      <c r="GT503" s="9"/>
      <c r="GU503" s="9"/>
      <c r="GV503" s="9"/>
      <c r="GW503" s="9"/>
      <c r="GX503" s="9"/>
      <c r="GY503" s="9"/>
      <c r="GZ503" s="9"/>
      <c r="HA503" s="9"/>
      <c r="HB503" s="9"/>
      <c r="HC503" s="9"/>
      <c r="HD503" s="9"/>
      <c r="HE503" s="9"/>
      <c r="HF503" s="9"/>
      <c r="HG503" s="9"/>
      <c r="HH503" s="9"/>
      <c r="HI503" s="9"/>
      <c r="HJ503" s="9"/>
      <c r="HK503" s="9"/>
      <c r="HL503" s="9"/>
      <c r="HM503" s="9"/>
      <c r="HN503" s="9"/>
      <c r="HO503" s="9"/>
      <c r="HP503" s="9"/>
      <c r="HQ503" s="9"/>
      <c r="HR503" s="9"/>
      <c r="HS503" s="9"/>
      <c r="HT503" s="9"/>
      <c r="HU503" s="9"/>
      <c r="HV503" s="9"/>
      <c r="HW503" s="9"/>
      <c r="HX503" s="9"/>
      <c r="HY503" s="9"/>
      <c r="HZ503" s="9"/>
      <c r="IA503" s="9"/>
      <c r="IB503" s="9"/>
      <c r="IC503" s="9"/>
      <c r="ID503" s="9"/>
      <c r="IE503" s="9"/>
      <c r="IF503" s="9"/>
      <c r="IG503" s="9"/>
      <c r="IH503" s="9"/>
      <c r="II503" s="9"/>
      <c r="IJ503" s="9"/>
      <c r="IK503" s="9"/>
      <c r="IL503" s="9"/>
      <c r="IM503" s="9"/>
      <c r="IN503" s="9"/>
      <c r="IO503" s="9"/>
      <c r="IP503" s="9"/>
      <c r="IQ503" s="9"/>
      <c r="IR503" s="9"/>
      <c r="IS503" s="9"/>
      <c r="IT503" s="9"/>
      <c r="IU503" s="9"/>
      <c r="IV503" s="9"/>
    </row>
    <row r="504" spans="1:256">
      <c r="B504" s="9" t="s">
        <v>1242</v>
      </c>
      <c r="C504" s="9"/>
      <c r="D504" s="10"/>
      <c r="E504" s="9"/>
      <c r="F504" s="10"/>
      <c r="G504" s="9"/>
      <c r="H504" s="10"/>
      <c r="I504" s="9"/>
      <c r="J504" s="10"/>
      <c r="K504" s="9"/>
      <c r="L504" s="10"/>
      <c r="M504" s="9"/>
      <c r="N504" s="10"/>
      <c r="O504" s="9"/>
      <c r="P504" s="10"/>
      <c r="Q504" s="9"/>
      <c r="R504" s="10"/>
      <c r="S504" s="9"/>
      <c r="T504" s="10"/>
      <c r="U504" s="9"/>
      <c r="V504" s="10"/>
      <c r="W504" s="9"/>
      <c r="X504" s="10"/>
      <c r="Y504" s="9"/>
      <c r="Z504" s="10"/>
      <c r="AA504" s="9"/>
      <c r="AB504" s="10"/>
      <c r="AC504" s="9"/>
      <c r="AD504" s="10"/>
      <c r="AE504" s="9"/>
      <c r="AF504" s="10"/>
      <c r="AG504" s="9"/>
      <c r="AH504" s="10"/>
      <c r="AI504" s="9"/>
      <c r="AJ504" s="10"/>
      <c r="AK504" s="9"/>
      <c r="AL504" s="10"/>
      <c r="AM504" s="9"/>
      <c r="AN504" s="10"/>
      <c r="AO504" s="9"/>
      <c r="AP504" s="10"/>
      <c r="AQ504" s="9"/>
      <c r="AR504" s="10"/>
      <c r="AS504" s="9"/>
      <c r="AT504" s="10"/>
      <c r="AU504" s="9"/>
      <c r="AV504" s="10"/>
      <c r="AW504" s="9"/>
      <c r="AX504" s="10"/>
      <c r="AY504" s="9"/>
      <c r="AZ504" s="10"/>
      <c r="BA504" s="9"/>
      <c r="BB504" s="10"/>
      <c r="BC504" s="9"/>
      <c r="BD504" s="10"/>
      <c r="BE504" s="9"/>
      <c r="BF504" s="10"/>
      <c r="BG504" s="9"/>
      <c r="BH504" s="10"/>
      <c r="BI504" s="9"/>
      <c r="BJ504" s="10"/>
      <c r="BK504" s="9"/>
      <c r="BL504" s="10"/>
      <c r="BM504" s="9"/>
      <c r="BN504" s="10"/>
      <c r="BO504" s="9"/>
      <c r="BP504" s="10"/>
      <c r="BQ504" s="9"/>
      <c r="BR504" s="10"/>
      <c r="BS504" s="9"/>
      <c r="BT504" s="10"/>
      <c r="BU504" s="9"/>
      <c r="BV504" s="10"/>
      <c r="BW504" s="9"/>
      <c r="BX504" s="10"/>
      <c r="BY504" s="9"/>
      <c r="BZ504" s="10"/>
      <c r="CA504" s="9"/>
      <c r="CB504" s="10"/>
      <c r="CC504" s="9"/>
      <c r="CD504" s="10"/>
      <c r="CE504" s="9"/>
      <c r="CF504" s="10"/>
      <c r="CG504" s="9"/>
      <c r="CH504" s="10"/>
      <c r="CI504" s="9"/>
      <c r="CJ504" s="10"/>
      <c r="CK504" s="9"/>
      <c r="CL504" s="10"/>
      <c r="CM504" s="9"/>
      <c r="CN504" s="10"/>
      <c r="CO504" s="9"/>
      <c r="CP504" s="10"/>
      <c r="CQ504" s="9"/>
      <c r="CR504" s="10"/>
      <c r="CS504" s="9"/>
      <c r="CT504" s="10"/>
      <c r="CU504" s="9"/>
      <c r="CV504" s="10"/>
      <c r="CW504" s="9"/>
      <c r="CX504" s="10"/>
      <c r="CY504" s="9"/>
      <c r="CZ504" s="10"/>
      <c r="DA504" s="9"/>
      <c r="DB504" s="10"/>
      <c r="DC504" s="9"/>
      <c r="DD504" s="10"/>
      <c r="DE504" s="9"/>
      <c r="DF504" s="10"/>
      <c r="DG504" s="9"/>
      <c r="DH504" s="10"/>
      <c r="DI504" s="9"/>
      <c r="DJ504" s="10"/>
      <c r="DK504" s="9"/>
      <c r="DL504" s="10"/>
      <c r="DM504" s="9"/>
      <c r="DN504" s="10"/>
      <c r="DO504" s="9"/>
      <c r="DP504" s="10"/>
      <c r="DQ504" s="9"/>
      <c r="DR504" s="10"/>
      <c r="DS504" s="9"/>
      <c r="DT504" s="10"/>
      <c r="DU504" s="9"/>
      <c r="DV504" s="10"/>
      <c r="DW504" s="9"/>
      <c r="DX504" s="10"/>
      <c r="DY504" s="9"/>
      <c r="DZ504" s="10"/>
      <c r="EA504" s="9"/>
      <c r="EB504" s="10"/>
      <c r="EC504" s="9"/>
      <c r="ED504" s="10"/>
      <c r="EE504" s="9"/>
      <c r="EF504" s="10"/>
      <c r="EG504" s="9"/>
      <c r="EH504" s="10"/>
      <c r="EI504" s="9"/>
      <c r="EJ504" s="10"/>
      <c r="EK504" s="9"/>
      <c r="EL504" s="10"/>
      <c r="EM504" s="9"/>
      <c r="EN504" s="10"/>
      <c r="EO504" s="9"/>
      <c r="EP504" s="10"/>
      <c r="EQ504" s="9"/>
      <c r="ER504" s="10"/>
      <c r="ES504" s="9"/>
      <c r="ET504" s="10"/>
      <c r="EU504" s="9"/>
      <c r="EV504" s="10"/>
      <c r="EW504" s="9"/>
      <c r="EX504" s="10"/>
      <c r="EY504" s="9"/>
      <c r="EZ504" s="10"/>
      <c r="FA504" s="9"/>
      <c r="FB504" s="10"/>
      <c r="FC504" s="9"/>
      <c r="FD504" s="10"/>
      <c r="FE504" s="9"/>
      <c r="FF504" s="10"/>
      <c r="FG504" s="9"/>
      <c r="FH504" s="10"/>
      <c r="FI504" s="9"/>
      <c r="FJ504" s="10"/>
      <c r="FK504" s="9"/>
      <c r="FL504" s="10"/>
      <c r="FM504" s="9"/>
      <c r="FN504" s="10"/>
      <c r="FO504" s="9"/>
      <c r="FP504" s="10"/>
      <c r="FQ504" s="9"/>
      <c r="FR504" s="10"/>
      <c r="FS504" s="9"/>
      <c r="FT504" s="10"/>
      <c r="FU504" s="9"/>
      <c r="FV504" s="10"/>
      <c r="FW504" s="9"/>
      <c r="FX504" s="10"/>
      <c r="FY504" s="9"/>
      <c r="FZ504" s="10"/>
      <c r="GA504" s="9"/>
      <c r="GB504" s="10"/>
      <c r="GC504" s="9"/>
      <c r="GD504" s="10"/>
      <c r="GE504" s="9"/>
      <c r="GF504" s="10"/>
      <c r="GG504" s="9"/>
      <c r="GH504" s="10"/>
      <c r="GI504" s="9"/>
      <c r="GJ504" s="10"/>
      <c r="GK504" s="9"/>
      <c r="GL504" s="10"/>
      <c r="GM504" s="9"/>
      <c r="GN504" s="10"/>
      <c r="GO504" s="9"/>
      <c r="GP504" s="10"/>
      <c r="GQ504" s="9"/>
      <c r="GR504" s="10"/>
      <c r="GS504" s="9"/>
      <c r="GT504" s="10"/>
      <c r="GU504" s="9"/>
      <c r="GV504" s="10"/>
      <c r="GW504" s="9"/>
      <c r="GX504" s="10"/>
      <c r="GY504" s="9"/>
      <c r="GZ504" s="10"/>
      <c r="HA504" s="9"/>
      <c r="HB504" s="10"/>
      <c r="HC504" s="9"/>
      <c r="HD504" s="10"/>
      <c r="HE504" s="9"/>
      <c r="HF504" s="10"/>
      <c r="HG504" s="9"/>
      <c r="HH504" s="10"/>
      <c r="HI504" s="9"/>
      <c r="HJ504" s="10"/>
      <c r="HK504" s="9"/>
      <c r="HL504" s="10"/>
      <c r="HM504" s="9"/>
      <c r="HN504" s="10"/>
      <c r="HO504" s="9"/>
      <c r="HP504" s="10"/>
      <c r="HQ504" s="9"/>
      <c r="HR504" s="10"/>
      <c r="HS504" s="9"/>
      <c r="HT504" s="10"/>
      <c r="HU504" s="9"/>
      <c r="HV504" s="10"/>
      <c r="HW504" s="9"/>
      <c r="HX504" s="10"/>
      <c r="HY504" s="9"/>
      <c r="HZ504" s="10"/>
      <c r="IA504" s="9"/>
      <c r="IB504" s="10"/>
      <c r="IC504" s="9"/>
      <c r="ID504" s="10"/>
      <c r="IE504" s="9"/>
      <c r="IF504" s="10"/>
      <c r="IG504" s="9"/>
      <c r="IH504" s="10"/>
      <c r="II504" s="9"/>
      <c r="IJ504" s="10"/>
      <c r="IK504" s="9"/>
      <c r="IL504" s="10"/>
      <c r="IM504" s="9"/>
      <c r="IN504" s="10"/>
      <c r="IO504" s="9"/>
      <c r="IP504" s="10"/>
      <c r="IQ504" s="9"/>
      <c r="IR504" s="10"/>
      <c r="IS504" s="9"/>
      <c r="IT504" s="10"/>
      <c r="IU504" s="9"/>
      <c r="IV504" s="10"/>
    </row>
    <row r="505" spans="1:256">
      <c r="B505" s="9" t="s">
        <v>2176</v>
      </c>
      <c r="C505" s="9"/>
      <c r="D505" s="10"/>
      <c r="E505" s="9"/>
      <c r="F505" s="10"/>
      <c r="G505" s="9"/>
      <c r="H505" s="10"/>
      <c r="I505" s="9"/>
      <c r="J505" s="10"/>
      <c r="K505" s="9"/>
      <c r="L505" s="10"/>
      <c r="M505" s="9"/>
      <c r="N505" s="10"/>
      <c r="O505" s="9"/>
      <c r="P505" s="10"/>
      <c r="Q505" s="9"/>
      <c r="R505" s="10"/>
      <c r="S505" s="9"/>
      <c r="T505" s="10"/>
      <c r="U505" s="9"/>
      <c r="V505" s="10"/>
      <c r="W505" s="9"/>
      <c r="X505" s="10"/>
      <c r="Y505" s="9"/>
      <c r="Z505" s="10"/>
      <c r="AA505" s="9"/>
      <c r="AB505" s="10"/>
      <c r="AC505" s="9"/>
      <c r="AD505" s="10"/>
      <c r="AE505" s="9"/>
      <c r="AF505" s="10"/>
      <c r="AG505" s="9"/>
      <c r="AH505" s="10"/>
      <c r="AI505" s="9"/>
      <c r="AJ505" s="10"/>
      <c r="AK505" s="9"/>
      <c r="AL505" s="10"/>
      <c r="AM505" s="9"/>
      <c r="AN505" s="10"/>
      <c r="AO505" s="9"/>
      <c r="AP505" s="10"/>
      <c r="AQ505" s="9"/>
      <c r="AR505" s="10"/>
      <c r="AS505" s="9"/>
      <c r="AT505" s="10"/>
      <c r="AU505" s="9"/>
      <c r="AV505" s="10"/>
      <c r="AW505" s="9"/>
      <c r="AX505" s="10"/>
      <c r="AY505" s="9"/>
      <c r="AZ505" s="10"/>
      <c r="BA505" s="9"/>
      <c r="BB505" s="10"/>
      <c r="BC505" s="9"/>
      <c r="BD505" s="10"/>
      <c r="BE505" s="9"/>
      <c r="BF505" s="10"/>
      <c r="BG505" s="9"/>
      <c r="BH505" s="10"/>
      <c r="BI505" s="9"/>
      <c r="BJ505" s="10"/>
      <c r="BK505" s="9"/>
      <c r="BL505" s="10"/>
      <c r="BM505" s="9"/>
      <c r="BN505" s="10"/>
      <c r="BO505" s="9"/>
      <c r="BP505" s="10"/>
      <c r="BQ505" s="9"/>
      <c r="BR505" s="10"/>
      <c r="BS505" s="9"/>
      <c r="BT505" s="10"/>
      <c r="BU505" s="9"/>
      <c r="BV505" s="10"/>
      <c r="BW505" s="9"/>
      <c r="BX505" s="10"/>
      <c r="BY505" s="9"/>
      <c r="BZ505" s="10"/>
      <c r="CA505" s="9"/>
      <c r="CB505" s="10"/>
      <c r="CC505" s="9"/>
      <c r="CD505" s="10"/>
      <c r="CE505" s="9"/>
      <c r="CF505" s="10"/>
      <c r="CG505" s="9"/>
      <c r="CH505" s="10"/>
      <c r="CI505" s="9"/>
      <c r="CJ505" s="10"/>
      <c r="CK505" s="9"/>
      <c r="CL505" s="10"/>
      <c r="CM505" s="9"/>
      <c r="CN505" s="10"/>
      <c r="CO505" s="9"/>
      <c r="CP505" s="10"/>
      <c r="CQ505" s="9"/>
      <c r="CR505" s="10"/>
      <c r="CS505" s="9"/>
      <c r="CT505" s="10"/>
      <c r="CU505" s="9"/>
      <c r="CV505" s="10"/>
      <c r="CW505" s="9"/>
      <c r="CX505" s="10"/>
      <c r="CY505" s="9"/>
      <c r="CZ505" s="10"/>
      <c r="DA505" s="9"/>
      <c r="DB505" s="10"/>
      <c r="DC505" s="9"/>
      <c r="DD505" s="10"/>
      <c r="DE505" s="9"/>
      <c r="DF505" s="10"/>
      <c r="DG505" s="9"/>
      <c r="DH505" s="10"/>
      <c r="DI505" s="9"/>
      <c r="DJ505" s="10"/>
      <c r="DK505" s="9"/>
      <c r="DL505" s="10"/>
      <c r="DM505" s="9"/>
      <c r="DN505" s="10"/>
      <c r="DO505" s="9"/>
      <c r="DP505" s="10"/>
      <c r="DQ505" s="9"/>
      <c r="DR505" s="10"/>
      <c r="DS505" s="9"/>
      <c r="DT505" s="10"/>
      <c r="DU505" s="9"/>
      <c r="DV505" s="10"/>
      <c r="DW505" s="9"/>
      <c r="DX505" s="10"/>
      <c r="DY505" s="9"/>
      <c r="DZ505" s="10"/>
      <c r="EA505" s="9"/>
      <c r="EB505" s="10"/>
      <c r="EC505" s="9"/>
      <c r="ED505" s="10"/>
      <c r="EE505" s="9"/>
      <c r="EF505" s="10"/>
      <c r="EG505" s="9"/>
      <c r="EH505" s="10"/>
      <c r="EI505" s="9"/>
      <c r="EJ505" s="10"/>
      <c r="EK505" s="9"/>
      <c r="EL505" s="10"/>
      <c r="EM505" s="9"/>
      <c r="EN505" s="10"/>
      <c r="EO505" s="9"/>
      <c r="EP505" s="10"/>
      <c r="EQ505" s="9"/>
      <c r="ER505" s="10"/>
      <c r="ES505" s="9"/>
      <c r="ET505" s="10"/>
      <c r="EU505" s="9"/>
      <c r="EV505" s="10"/>
      <c r="EW505" s="9"/>
      <c r="EX505" s="10"/>
      <c r="EY505" s="9"/>
      <c r="EZ505" s="10"/>
      <c r="FA505" s="9"/>
      <c r="FB505" s="10"/>
      <c r="FC505" s="9"/>
      <c r="FD505" s="10"/>
      <c r="FE505" s="9"/>
      <c r="FF505" s="10"/>
      <c r="FG505" s="9"/>
      <c r="FH505" s="10"/>
      <c r="FI505" s="9"/>
      <c r="FJ505" s="10"/>
      <c r="FK505" s="9"/>
      <c r="FL505" s="10"/>
      <c r="FM505" s="9"/>
      <c r="FN505" s="10"/>
      <c r="FO505" s="9"/>
      <c r="FP505" s="10"/>
      <c r="FQ505" s="9"/>
      <c r="FR505" s="10"/>
      <c r="FS505" s="9"/>
      <c r="FT505" s="10"/>
      <c r="FU505" s="9"/>
      <c r="FV505" s="10"/>
      <c r="FW505" s="9"/>
      <c r="FX505" s="10"/>
      <c r="FY505" s="9"/>
      <c r="FZ505" s="10"/>
      <c r="GA505" s="9"/>
      <c r="GB505" s="10"/>
      <c r="GC505" s="9"/>
      <c r="GD505" s="10"/>
      <c r="GE505" s="9"/>
      <c r="GF505" s="10"/>
      <c r="GG505" s="9"/>
      <c r="GH505" s="10"/>
      <c r="GI505" s="9"/>
      <c r="GJ505" s="10"/>
      <c r="GK505" s="9"/>
      <c r="GL505" s="10"/>
      <c r="GM505" s="9"/>
      <c r="GN505" s="10"/>
      <c r="GO505" s="9"/>
      <c r="GP505" s="10"/>
      <c r="GQ505" s="9"/>
      <c r="GR505" s="10"/>
      <c r="GS505" s="9"/>
      <c r="GT505" s="10"/>
      <c r="GU505" s="9"/>
      <c r="GV505" s="10"/>
      <c r="GW505" s="9"/>
      <c r="GX505" s="10"/>
      <c r="GY505" s="9"/>
      <c r="GZ505" s="10"/>
      <c r="HA505" s="9"/>
      <c r="HB505" s="10"/>
      <c r="HC505" s="9"/>
      <c r="HD505" s="10"/>
      <c r="HE505" s="9"/>
      <c r="HF505" s="10"/>
      <c r="HG505" s="9"/>
      <c r="HH505" s="10"/>
      <c r="HI505" s="9"/>
      <c r="HJ505" s="10"/>
      <c r="HK505" s="9"/>
      <c r="HL505" s="10"/>
      <c r="HM505" s="9"/>
      <c r="HN505" s="10"/>
      <c r="HO505" s="9"/>
      <c r="HP505" s="10"/>
      <c r="HQ505" s="9"/>
      <c r="HR505" s="10"/>
      <c r="HS505" s="9"/>
      <c r="HT505" s="10"/>
      <c r="HU505" s="9"/>
      <c r="HV505" s="10"/>
      <c r="HW505" s="9"/>
      <c r="HX505" s="10"/>
      <c r="HY505" s="9"/>
      <c r="HZ505" s="10"/>
      <c r="IA505" s="9"/>
      <c r="IB505" s="10"/>
      <c r="IC505" s="9"/>
      <c r="ID505" s="10"/>
      <c r="IE505" s="9"/>
      <c r="IF505" s="10"/>
      <c r="IG505" s="9"/>
      <c r="IH505" s="10"/>
      <c r="II505" s="9"/>
      <c r="IJ505" s="10"/>
      <c r="IK505" s="9"/>
      <c r="IL505" s="10"/>
      <c r="IM505" s="9"/>
      <c r="IN505" s="10"/>
      <c r="IO505" s="9"/>
      <c r="IP505" s="10"/>
      <c r="IQ505" s="9"/>
      <c r="IR505" s="10"/>
      <c r="IS505" s="9"/>
      <c r="IT505" s="10"/>
      <c r="IU505" s="9"/>
      <c r="IV505" s="10"/>
    </row>
    <row r="506" spans="1:256">
      <c r="B506" s="10" t="s">
        <v>2177</v>
      </c>
      <c r="C506" s="9"/>
      <c r="D506" s="10"/>
      <c r="E506" s="9"/>
      <c r="F506" s="10"/>
      <c r="G506" s="9"/>
      <c r="H506" s="10"/>
      <c r="I506" s="9"/>
      <c r="J506" s="10"/>
      <c r="K506" s="9"/>
      <c r="L506" s="10"/>
      <c r="M506" s="9"/>
      <c r="N506" s="10"/>
      <c r="O506" s="9"/>
      <c r="P506" s="10"/>
      <c r="Q506" s="9"/>
      <c r="R506" s="10"/>
      <c r="S506" s="9"/>
      <c r="T506" s="10"/>
      <c r="U506" s="9"/>
      <c r="V506" s="10"/>
      <c r="W506" s="9"/>
      <c r="X506" s="10"/>
      <c r="Y506" s="9"/>
      <c r="Z506" s="10"/>
      <c r="AA506" s="9"/>
      <c r="AB506" s="10"/>
      <c r="AC506" s="9"/>
      <c r="AD506" s="10"/>
      <c r="AE506" s="9"/>
      <c r="AF506" s="10"/>
      <c r="AG506" s="9"/>
      <c r="AH506" s="10"/>
      <c r="AI506" s="9"/>
      <c r="AJ506" s="10"/>
      <c r="AK506" s="9"/>
      <c r="AL506" s="10"/>
      <c r="AM506" s="9"/>
      <c r="AN506" s="10"/>
      <c r="AO506" s="9"/>
      <c r="AP506" s="10"/>
      <c r="AQ506" s="9"/>
      <c r="AR506" s="10"/>
      <c r="AS506" s="9"/>
      <c r="AT506" s="10"/>
      <c r="AU506" s="9"/>
      <c r="AV506" s="10"/>
      <c r="AW506" s="9"/>
      <c r="AX506" s="10"/>
      <c r="AY506" s="9"/>
      <c r="AZ506" s="10"/>
      <c r="BA506" s="9"/>
      <c r="BB506" s="10"/>
      <c r="BC506" s="9"/>
      <c r="BD506" s="10"/>
      <c r="BE506" s="9"/>
      <c r="BF506" s="10"/>
      <c r="BG506" s="9"/>
      <c r="BH506" s="10"/>
      <c r="BI506" s="9"/>
      <c r="BJ506" s="10"/>
      <c r="BK506" s="9"/>
      <c r="BL506" s="10"/>
      <c r="BM506" s="9"/>
      <c r="BN506" s="10"/>
      <c r="BO506" s="9"/>
      <c r="BP506" s="10"/>
      <c r="BQ506" s="9"/>
      <c r="BR506" s="10"/>
      <c r="BS506" s="9"/>
      <c r="BT506" s="10"/>
      <c r="BU506" s="9"/>
      <c r="BV506" s="10"/>
      <c r="BW506" s="9"/>
      <c r="BX506" s="10"/>
      <c r="BY506" s="9"/>
      <c r="BZ506" s="10"/>
      <c r="CA506" s="9"/>
      <c r="CB506" s="10"/>
      <c r="CC506" s="9"/>
      <c r="CD506" s="10"/>
      <c r="CE506" s="9"/>
      <c r="CF506" s="10"/>
      <c r="CG506" s="9"/>
      <c r="CH506" s="10"/>
      <c r="CI506" s="9"/>
      <c r="CJ506" s="10"/>
      <c r="CK506" s="9"/>
      <c r="CL506" s="10"/>
      <c r="CM506" s="9"/>
      <c r="CN506" s="10"/>
      <c r="CO506" s="9"/>
      <c r="CP506" s="10"/>
      <c r="CQ506" s="9"/>
      <c r="CR506" s="10"/>
      <c r="CS506" s="9"/>
      <c r="CT506" s="10"/>
      <c r="CU506" s="9"/>
      <c r="CV506" s="10"/>
      <c r="CW506" s="9"/>
      <c r="CX506" s="10"/>
      <c r="CY506" s="9"/>
      <c r="CZ506" s="10"/>
      <c r="DA506" s="9"/>
      <c r="DB506" s="10"/>
      <c r="DC506" s="9"/>
      <c r="DD506" s="10"/>
      <c r="DE506" s="9"/>
      <c r="DF506" s="10"/>
      <c r="DG506" s="9"/>
      <c r="DH506" s="10"/>
      <c r="DI506" s="9"/>
      <c r="DJ506" s="10"/>
      <c r="DK506" s="9"/>
      <c r="DL506" s="10"/>
      <c r="DM506" s="9"/>
      <c r="DN506" s="10"/>
      <c r="DO506" s="9"/>
      <c r="DP506" s="10"/>
      <c r="DQ506" s="9"/>
      <c r="DR506" s="10"/>
      <c r="DS506" s="9"/>
      <c r="DT506" s="10"/>
      <c r="DU506" s="9"/>
      <c r="DV506" s="10"/>
      <c r="DW506" s="9"/>
      <c r="DX506" s="10"/>
      <c r="DY506" s="9"/>
      <c r="DZ506" s="10"/>
      <c r="EA506" s="9"/>
      <c r="EB506" s="10"/>
      <c r="EC506" s="9"/>
      <c r="ED506" s="10"/>
      <c r="EE506" s="9"/>
      <c r="EF506" s="10"/>
      <c r="EG506" s="9"/>
      <c r="EH506" s="10"/>
      <c r="EI506" s="9"/>
      <c r="EJ506" s="10"/>
      <c r="EK506" s="9"/>
      <c r="EL506" s="10"/>
      <c r="EM506" s="9"/>
      <c r="EN506" s="10"/>
      <c r="EO506" s="9"/>
      <c r="EP506" s="10"/>
      <c r="EQ506" s="9"/>
      <c r="ER506" s="10"/>
      <c r="ES506" s="9"/>
      <c r="ET506" s="10"/>
      <c r="EU506" s="9"/>
      <c r="EV506" s="10"/>
      <c r="EW506" s="9"/>
      <c r="EX506" s="10"/>
      <c r="EY506" s="9"/>
      <c r="EZ506" s="10"/>
      <c r="FA506" s="9"/>
      <c r="FB506" s="10"/>
      <c r="FC506" s="9"/>
      <c r="FD506" s="10"/>
      <c r="FE506" s="9"/>
      <c r="FF506" s="10"/>
      <c r="FG506" s="9"/>
      <c r="FH506" s="10"/>
      <c r="FI506" s="9"/>
      <c r="FJ506" s="10"/>
      <c r="FK506" s="9"/>
      <c r="FL506" s="10"/>
      <c r="FM506" s="9"/>
      <c r="FN506" s="10"/>
      <c r="FO506" s="9"/>
      <c r="FP506" s="10"/>
      <c r="FQ506" s="9"/>
      <c r="FR506" s="10"/>
      <c r="FS506" s="9"/>
      <c r="FT506" s="10"/>
      <c r="FU506" s="9"/>
      <c r="FV506" s="10"/>
      <c r="FW506" s="9"/>
      <c r="FX506" s="10"/>
      <c r="FY506" s="9"/>
      <c r="FZ506" s="10"/>
      <c r="GA506" s="9"/>
      <c r="GB506" s="10"/>
      <c r="GC506" s="9"/>
      <c r="GD506" s="10"/>
      <c r="GE506" s="9"/>
      <c r="GF506" s="10"/>
      <c r="GG506" s="9"/>
      <c r="GH506" s="10"/>
      <c r="GI506" s="9"/>
      <c r="GJ506" s="10"/>
      <c r="GK506" s="9"/>
      <c r="GL506" s="10"/>
      <c r="GM506" s="9"/>
      <c r="GN506" s="10"/>
      <c r="GO506" s="9"/>
      <c r="GP506" s="10"/>
      <c r="GQ506" s="9"/>
      <c r="GR506" s="10"/>
      <c r="GS506" s="9"/>
      <c r="GT506" s="10"/>
      <c r="GU506" s="9"/>
      <c r="GV506" s="10"/>
      <c r="GW506" s="9"/>
      <c r="GX506" s="10"/>
      <c r="GY506" s="9"/>
      <c r="GZ506" s="10"/>
      <c r="HA506" s="9"/>
      <c r="HB506" s="10"/>
      <c r="HC506" s="9"/>
      <c r="HD506" s="10"/>
      <c r="HE506" s="9"/>
      <c r="HF506" s="10"/>
      <c r="HG506" s="9"/>
      <c r="HH506" s="10"/>
      <c r="HI506" s="9"/>
      <c r="HJ506" s="10"/>
      <c r="HK506" s="9"/>
      <c r="HL506" s="10"/>
      <c r="HM506" s="9"/>
      <c r="HN506" s="10"/>
      <c r="HO506" s="9"/>
      <c r="HP506" s="10"/>
      <c r="HQ506" s="9"/>
      <c r="HR506" s="10"/>
      <c r="HS506" s="9"/>
      <c r="HT506" s="10"/>
      <c r="HU506" s="9"/>
      <c r="HV506" s="10"/>
      <c r="HW506" s="9"/>
      <c r="HX506" s="10"/>
      <c r="HY506" s="9"/>
      <c r="HZ506" s="10"/>
      <c r="IA506" s="9"/>
      <c r="IB506" s="10"/>
      <c r="IC506" s="9"/>
      <c r="ID506" s="10"/>
      <c r="IE506" s="9"/>
      <c r="IF506" s="10"/>
      <c r="IG506" s="9"/>
      <c r="IH506" s="10"/>
      <c r="II506" s="9"/>
      <c r="IJ506" s="10"/>
      <c r="IK506" s="9"/>
      <c r="IL506" s="10"/>
      <c r="IM506" s="9"/>
      <c r="IN506" s="10"/>
      <c r="IO506" s="9"/>
      <c r="IP506" s="10"/>
      <c r="IQ506" s="9"/>
      <c r="IR506" s="10"/>
      <c r="IS506" s="9"/>
      <c r="IT506" s="10"/>
      <c r="IU506" s="9"/>
      <c r="IV506" s="10"/>
    </row>
    <row r="507" spans="1:256">
      <c r="A507" s="9" t="s">
        <v>2248</v>
      </c>
      <c r="B507" s="9" t="s">
        <v>2178</v>
      </c>
    </row>
    <row r="508" spans="1:256">
      <c r="A508" s="9" t="s">
        <v>2179</v>
      </c>
      <c r="B508" s="10" t="s">
        <v>2180</v>
      </c>
    </row>
    <row r="509" spans="1:256">
      <c r="B509" s="10" t="s">
        <v>2181</v>
      </c>
    </row>
    <row r="510" spans="1:256">
      <c r="B510" s="10"/>
    </row>
    <row r="511" spans="1:256">
      <c r="A511" s="9" t="s">
        <v>1671</v>
      </c>
    </row>
    <row r="512" spans="1:256">
      <c r="A512" s="9" t="s">
        <v>2247</v>
      </c>
      <c r="B512" s="9" t="s">
        <v>1670</v>
      </c>
    </row>
    <row r="513" spans="1:10">
      <c r="B513" s="9" t="s">
        <v>2211</v>
      </c>
      <c r="J513" s="10"/>
    </row>
    <row r="514" spans="1:10">
      <c r="A514" s="9" t="s">
        <v>2248</v>
      </c>
      <c r="B514" s="9" t="s">
        <v>161</v>
      </c>
    </row>
    <row r="516" spans="1:10">
      <c r="A516" s="9" t="s">
        <v>1580</v>
      </c>
      <c r="B516" s="9" t="s">
        <v>1581</v>
      </c>
    </row>
    <row r="517" spans="1:10">
      <c r="A517" s="9" t="s">
        <v>1584</v>
      </c>
      <c r="B517" s="9" t="s">
        <v>1585</v>
      </c>
    </row>
    <row r="518" spans="1:10">
      <c r="B518" s="9" t="s">
        <v>1583</v>
      </c>
    </row>
    <row r="519" spans="1:10">
      <c r="B519" s="9" t="s">
        <v>1427</v>
      </c>
    </row>
    <row r="520" spans="1:10">
      <c r="B520" s="9" t="s">
        <v>1716</v>
      </c>
    </row>
    <row r="521" spans="1:10">
      <c r="B521" s="9" t="s">
        <v>1717</v>
      </c>
    </row>
    <row r="522" spans="1:10">
      <c r="B522" s="9" t="s">
        <v>219</v>
      </c>
    </row>
    <row r="523" spans="1:10">
      <c r="B523" s="9" t="s">
        <v>220</v>
      </c>
    </row>
    <row r="524" spans="1:10">
      <c r="B524" s="9" t="s">
        <v>221</v>
      </c>
    </row>
    <row r="526" spans="1:10">
      <c r="A526" s="9" t="s">
        <v>726</v>
      </c>
    </row>
    <row r="527" spans="1:10">
      <c r="A527" s="9" t="s">
        <v>2247</v>
      </c>
      <c r="B527" s="10" t="s">
        <v>725</v>
      </c>
    </row>
    <row r="528" spans="1:10">
      <c r="B528" s="9" t="s">
        <v>937</v>
      </c>
    </row>
    <row r="529" spans="1:2">
      <c r="A529" s="9" t="s">
        <v>1566</v>
      </c>
      <c r="B529" s="9" t="s">
        <v>544</v>
      </c>
    </row>
    <row r="530" spans="1:2">
      <c r="A530" s="9" t="s">
        <v>2248</v>
      </c>
      <c r="B530" s="285" t="s">
        <v>1438</v>
      </c>
    </row>
    <row r="531" spans="1:2">
      <c r="B531" s="10" t="s">
        <v>282</v>
      </c>
    </row>
    <row r="532" spans="1:2">
      <c r="B532" s="10" t="s">
        <v>278</v>
      </c>
    </row>
    <row r="533" spans="1:2">
      <c r="B533" s="10" t="s">
        <v>1760</v>
      </c>
    </row>
    <row r="534" spans="1:2">
      <c r="B534" s="10" t="s">
        <v>1530</v>
      </c>
    </row>
    <row r="535" spans="1:2">
      <c r="B535" s="10" t="s">
        <v>545</v>
      </c>
    </row>
    <row r="536" spans="1:2">
      <c r="B536" s="48" t="s">
        <v>1430</v>
      </c>
    </row>
    <row r="537" spans="1:2">
      <c r="B537" s="126" t="s">
        <v>1429</v>
      </c>
    </row>
    <row r="538" spans="1:2">
      <c r="B538" s="10" t="s">
        <v>280</v>
      </c>
    </row>
    <row r="539" spans="1:2">
      <c r="B539" s="10" t="s">
        <v>548</v>
      </c>
    </row>
    <row r="540" spans="1:2">
      <c r="B540" s="10" t="s">
        <v>281</v>
      </c>
    </row>
    <row r="541" spans="1:2">
      <c r="B541" s="10" t="s">
        <v>1432</v>
      </c>
    </row>
    <row r="542" spans="1:2">
      <c r="B542" s="10" t="s">
        <v>1431</v>
      </c>
    </row>
    <row r="543" spans="1:2">
      <c r="B543" s="10" t="s">
        <v>1531</v>
      </c>
    </row>
    <row r="544" spans="1:2">
      <c r="A544" s="2"/>
      <c r="B544" s="10" t="s">
        <v>279</v>
      </c>
    </row>
    <row r="545" spans="1:6">
      <c r="A545" s="2"/>
      <c r="B545" s="10" t="s">
        <v>727</v>
      </c>
      <c r="F545" s="286"/>
    </row>
    <row r="546" spans="1:6">
      <c r="A546" s="2"/>
      <c r="B546" s="10" t="s">
        <v>546</v>
      </c>
    </row>
    <row r="547" spans="1:6">
      <c r="A547" s="2"/>
      <c r="B547" s="10" t="s">
        <v>1433</v>
      </c>
    </row>
    <row r="548" spans="1:6">
      <c r="A548" s="2"/>
      <c r="B548" s="10" t="s">
        <v>1302</v>
      </c>
    </row>
    <row r="549" spans="1:6">
      <c r="A549" s="2"/>
      <c r="B549" s="10" t="s">
        <v>1437</v>
      </c>
    </row>
    <row r="550" spans="1:6">
      <c r="A550" s="2"/>
      <c r="B550" s="10" t="s">
        <v>277</v>
      </c>
    </row>
    <row r="551" spans="1:6">
      <c r="A551" s="2"/>
      <c r="B551" s="10" t="s">
        <v>1434</v>
      </c>
    </row>
    <row r="552" spans="1:6">
      <c r="A552" s="2"/>
      <c r="B552" s="10" t="s">
        <v>1435</v>
      </c>
    </row>
    <row r="553" spans="1:6">
      <c r="A553" s="2"/>
      <c r="B553" s="10" t="s">
        <v>1436</v>
      </c>
    </row>
    <row r="554" spans="1:6">
      <c r="A554" s="2"/>
      <c r="B554" s="10" t="s">
        <v>1763</v>
      </c>
    </row>
    <row r="555" spans="1:6">
      <c r="A555" s="2"/>
      <c r="B555" s="10" t="s">
        <v>1528</v>
      </c>
    </row>
    <row r="556" spans="1:6">
      <c r="A556" s="2"/>
      <c r="B556" s="10" t="s">
        <v>1525</v>
      </c>
    </row>
    <row r="557" spans="1:6">
      <c r="A557" s="2"/>
      <c r="B557" s="10" t="s">
        <v>1529</v>
      </c>
    </row>
    <row r="558" spans="1:6">
      <c r="A558" s="2"/>
      <c r="B558" s="10" t="s">
        <v>1526</v>
      </c>
    </row>
    <row r="559" spans="1:6">
      <c r="A559" s="2"/>
      <c r="B559" s="10" t="s">
        <v>1527</v>
      </c>
    </row>
    <row r="560" spans="1:6">
      <c r="A560" s="2"/>
      <c r="B560" s="10" t="s">
        <v>1762</v>
      </c>
    </row>
    <row r="561" spans="1:2">
      <c r="A561" s="2"/>
      <c r="B561" s="10" t="s">
        <v>1421</v>
      </c>
    </row>
    <row r="562" spans="1:2">
      <c r="A562" s="2"/>
      <c r="B562" s="10" t="s">
        <v>1766</v>
      </c>
    </row>
    <row r="563" spans="1:2">
      <c r="A563" s="2"/>
      <c r="B563" s="10" t="s">
        <v>1761</v>
      </c>
    </row>
    <row r="564" spans="1:2">
      <c r="A564" s="2"/>
      <c r="B564" s="10" t="s">
        <v>1767</v>
      </c>
    </row>
    <row r="565" spans="1:2">
      <c r="A565" s="2"/>
      <c r="B565" s="10" t="s">
        <v>1765</v>
      </c>
    </row>
    <row r="566" spans="1:2">
      <c r="A566" s="2"/>
      <c r="B566" s="10" t="s">
        <v>1764</v>
      </c>
    </row>
    <row r="567" spans="1:2">
      <c r="A567" s="2"/>
      <c r="B567" s="10" t="s">
        <v>1768</v>
      </c>
    </row>
    <row r="568" spans="1:2">
      <c r="A568" s="2"/>
      <c r="B568" s="10" t="s">
        <v>547</v>
      </c>
    </row>
    <row r="569" spans="1:2">
      <c r="A569" s="2"/>
      <c r="B569" s="10" t="s">
        <v>159</v>
      </c>
    </row>
    <row r="570" spans="1:2">
      <c r="A570" s="2"/>
      <c r="B570" s="10" t="s">
        <v>1422</v>
      </c>
    </row>
    <row r="571" spans="1:2">
      <c r="A571" s="2"/>
      <c r="B571" s="10" t="s">
        <v>1423</v>
      </c>
    </row>
    <row r="572" spans="1:2">
      <c r="A572" s="2"/>
      <c r="B572" s="10" t="s">
        <v>1424</v>
      </c>
    </row>
    <row r="573" spans="1:2">
      <c r="A573" s="2"/>
      <c r="B573" s="10" t="s">
        <v>158</v>
      </c>
    </row>
    <row r="574" spans="1:2">
      <c r="A574" s="2"/>
      <c r="B574" s="10"/>
    </row>
    <row r="575" spans="1:2">
      <c r="A575" s="2"/>
      <c r="B575" s="10"/>
    </row>
    <row r="576" spans="1:2">
      <c r="A576" s="2"/>
      <c r="B576" s="285" t="s">
        <v>543</v>
      </c>
    </row>
    <row r="577" spans="1:2">
      <c r="B577" s="286" t="s">
        <v>549</v>
      </c>
    </row>
    <row r="579" spans="1:2">
      <c r="A579" s="9" t="s">
        <v>1031</v>
      </c>
    </row>
    <row r="580" spans="1:2">
      <c r="A580" s="9" t="s">
        <v>276</v>
      </c>
      <c r="B580" s="9" t="s">
        <v>963</v>
      </c>
    </row>
    <row r="581" spans="1:2">
      <c r="A581" s="9" t="s">
        <v>273</v>
      </c>
      <c r="B581" s="9" t="s">
        <v>963</v>
      </c>
    </row>
    <row r="582" spans="1:2">
      <c r="A582" s="9" t="s">
        <v>1343</v>
      </c>
      <c r="B582" s="9" t="s">
        <v>963</v>
      </c>
    </row>
    <row r="583" spans="1:2">
      <c r="A583" s="9" t="s">
        <v>1565</v>
      </c>
      <c r="B583" s="9" t="s">
        <v>963</v>
      </c>
    </row>
    <row r="584" spans="1:2">
      <c r="A584" s="9" t="s">
        <v>1900</v>
      </c>
      <c r="B584" s="9" t="s">
        <v>2246</v>
      </c>
    </row>
    <row r="585" spans="1:2">
      <c r="A585" s="9" t="s">
        <v>1664</v>
      </c>
      <c r="B585" s="9" t="s">
        <v>2246</v>
      </c>
    </row>
    <row r="586" spans="1:2">
      <c r="A586" s="9" t="s">
        <v>1918</v>
      </c>
      <c r="B586" s="9" t="s">
        <v>2246</v>
      </c>
    </row>
    <row r="587" spans="1:2">
      <c r="A587" s="9" t="s">
        <v>2230</v>
      </c>
      <c r="B587" s="9" t="s">
        <v>963</v>
      </c>
    </row>
    <row r="588" spans="1:2">
      <c r="A588" s="9" t="s">
        <v>807</v>
      </c>
      <c r="B588" s="9" t="s">
        <v>963</v>
      </c>
    </row>
    <row r="589" spans="1:2">
      <c r="A589" s="9" t="s">
        <v>805</v>
      </c>
      <c r="B589" s="9" t="s">
        <v>963</v>
      </c>
    </row>
    <row r="590" spans="1:2">
      <c r="A590" s="9" t="s">
        <v>2074</v>
      </c>
      <c r="B590" s="9" t="s">
        <v>963</v>
      </c>
    </row>
    <row r="591" spans="1:2">
      <c r="A591" s="9" t="s">
        <v>1853</v>
      </c>
      <c r="B591" s="10" t="s">
        <v>963</v>
      </c>
    </row>
    <row r="592" spans="1:2">
      <c r="A592" s="9" t="s">
        <v>1852</v>
      </c>
      <c r="B592" s="9" t="s">
        <v>2246</v>
      </c>
    </row>
    <row r="593" spans="1:8">
      <c r="A593" s="9" t="s">
        <v>1470</v>
      </c>
      <c r="B593" s="9" t="s">
        <v>2246</v>
      </c>
    </row>
    <row r="594" spans="1:8">
      <c r="A594" s="9" t="s">
        <v>820</v>
      </c>
      <c r="B594" s="9" t="s">
        <v>963</v>
      </c>
    </row>
    <row r="595" spans="1:8">
      <c r="A595" s="9" t="s">
        <v>931</v>
      </c>
      <c r="B595" s="9" t="s">
        <v>2246</v>
      </c>
    </row>
    <row r="596" spans="1:8">
      <c r="A596" s="9" t="s">
        <v>930</v>
      </c>
      <c r="B596" s="9" t="s">
        <v>963</v>
      </c>
    </row>
    <row r="597" spans="1:8">
      <c r="A597" s="9" t="s">
        <v>2245</v>
      </c>
      <c r="B597" s="9" t="s">
        <v>963</v>
      </c>
    </row>
    <row r="598" spans="1:8">
      <c r="A598" s="9" t="s">
        <v>2250</v>
      </c>
      <c r="B598" s="9" t="s">
        <v>2246</v>
      </c>
    </row>
    <row r="599" spans="1:8">
      <c r="A599" s="9" t="s">
        <v>2095</v>
      </c>
      <c r="B599" s="9" t="s">
        <v>963</v>
      </c>
    </row>
    <row r="600" spans="1:8">
      <c r="A600" s="9" t="s">
        <v>2096</v>
      </c>
      <c r="B600" s="9" t="s">
        <v>963</v>
      </c>
    </row>
    <row r="601" spans="1:8">
      <c r="A601" s="9" t="s">
        <v>2097</v>
      </c>
      <c r="B601" s="9" t="s">
        <v>963</v>
      </c>
    </row>
    <row r="602" spans="1:8">
      <c r="A602" s="9" t="s">
        <v>2098</v>
      </c>
      <c r="B602" s="9" t="s">
        <v>963</v>
      </c>
    </row>
    <row r="603" spans="1:8">
      <c r="A603" s="9" t="s">
        <v>2099</v>
      </c>
      <c r="B603" s="9" t="s">
        <v>963</v>
      </c>
      <c r="G603" s="10"/>
    </row>
    <row r="604" spans="1:8">
      <c r="A604" s="9" t="s">
        <v>2101</v>
      </c>
      <c r="B604" s="9" t="s">
        <v>2100</v>
      </c>
      <c r="G604" s="10"/>
    </row>
    <row r="605" spans="1:8">
      <c r="A605" s="9" t="s">
        <v>2102</v>
      </c>
      <c r="B605" s="9" t="s">
        <v>2246</v>
      </c>
      <c r="H605" s="2"/>
    </row>
    <row r="606" spans="1:8">
      <c r="A606" s="9" t="s">
        <v>2103</v>
      </c>
      <c r="B606" s="9" t="s">
        <v>2246</v>
      </c>
      <c r="H606" s="2"/>
    </row>
    <row r="607" spans="1:8">
      <c r="A607" s="9" t="s">
        <v>2105</v>
      </c>
      <c r="B607" s="9" t="s">
        <v>2104</v>
      </c>
      <c r="H607" s="2"/>
    </row>
    <row r="608" spans="1:8">
      <c r="A608" s="9" t="s">
        <v>2106</v>
      </c>
      <c r="B608" s="9" t="s">
        <v>963</v>
      </c>
      <c r="H608" s="2"/>
    </row>
    <row r="609" spans="1:8">
      <c r="A609" s="9" t="s">
        <v>2107</v>
      </c>
      <c r="B609" s="9" t="s">
        <v>2246</v>
      </c>
      <c r="H609" s="2"/>
    </row>
    <row r="610" spans="1:8">
      <c r="A610" s="9" t="s">
        <v>2108</v>
      </c>
      <c r="B610" s="9" t="s">
        <v>963</v>
      </c>
    </row>
    <row r="611" spans="1:8">
      <c r="A611" s="9" t="s">
        <v>2109</v>
      </c>
      <c r="B611" s="9" t="s">
        <v>2246</v>
      </c>
      <c r="H611" s="2"/>
    </row>
    <row r="612" spans="1:8">
      <c r="A612" s="9" t="s">
        <v>2110</v>
      </c>
      <c r="B612" s="9" t="s">
        <v>963</v>
      </c>
      <c r="H612" s="2"/>
    </row>
    <row r="613" spans="1:8">
      <c r="A613" s="9" t="s">
        <v>2111</v>
      </c>
      <c r="B613" s="9" t="s">
        <v>963</v>
      </c>
    </row>
    <row r="614" spans="1:8">
      <c r="A614" s="9" t="s">
        <v>2113</v>
      </c>
      <c r="B614" s="9" t="s">
        <v>2112</v>
      </c>
      <c r="H614" s="2"/>
    </row>
    <row r="615" spans="1:8">
      <c r="A615" s="9" t="s">
        <v>2114</v>
      </c>
      <c r="B615" s="9" t="s">
        <v>2246</v>
      </c>
      <c r="G615" s="8"/>
      <c r="H615" s="2"/>
    </row>
    <row r="616" spans="1:8">
      <c r="A616" s="9" t="s">
        <v>2115</v>
      </c>
      <c r="B616" s="9" t="s">
        <v>2112</v>
      </c>
      <c r="H616" s="2"/>
    </row>
    <row r="617" spans="1:8">
      <c r="A617" s="9" t="s">
        <v>2116</v>
      </c>
      <c r="B617" s="9" t="s">
        <v>2246</v>
      </c>
      <c r="H617" s="2"/>
    </row>
    <row r="618" spans="1:8">
      <c r="A618" s="9" t="s">
        <v>2117</v>
      </c>
      <c r="B618" s="9" t="s">
        <v>2246</v>
      </c>
      <c r="H618" s="2"/>
    </row>
    <row r="619" spans="1:8">
      <c r="A619" s="9" t="s">
        <v>2118</v>
      </c>
      <c r="B619" s="9" t="s">
        <v>2112</v>
      </c>
    </row>
    <row r="620" spans="1:8">
      <c r="A620" s="9" t="s">
        <v>2119</v>
      </c>
      <c r="B620" s="9" t="s">
        <v>2246</v>
      </c>
      <c r="H620" s="2"/>
    </row>
    <row r="621" spans="1:8">
      <c r="A621" s="9" t="s">
        <v>2120</v>
      </c>
      <c r="B621" s="9" t="s">
        <v>2112</v>
      </c>
      <c r="H621" s="2"/>
    </row>
    <row r="622" spans="1:8">
      <c r="A622" s="9" t="s">
        <v>2121</v>
      </c>
      <c r="B622" s="9" t="s">
        <v>2246</v>
      </c>
      <c r="H622" s="2"/>
    </row>
    <row r="623" spans="1:8">
      <c r="A623" s="9" t="s">
        <v>2122</v>
      </c>
      <c r="B623" s="9" t="s">
        <v>2246</v>
      </c>
      <c r="H623" s="2"/>
    </row>
    <row r="624" spans="1:8">
      <c r="A624" s="9" t="s">
        <v>2123</v>
      </c>
      <c r="B624" s="9" t="s">
        <v>2246</v>
      </c>
      <c r="H624" s="2"/>
    </row>
    <row r="625" spans="1:8">
      <c r="A625" s="9" t="s">
        <v>2124</v>
      </c>
      <c r="B625" s="9" t="s">
        <v>2246</v>
      </c>
      <c r="H625" s="2"/>
    </row>
    <row r="626" spans="1:8">
      <c r="A626" s="9" t="s">
        <v>2126</v>
      </c>
      <c r="B626" s="9" t="s">
        <v>2125</v>
      </c>
      <c r="H626" s="2"/>
    </row>
    <row r="627" spans="1:8">
      <c r="A627" s="9" t="s">
        <v>2127</v>
      </c>
      <c r="B627" s="9" t="s">
        <v>2246</v>
      </c>
      <c r="H627" s="2"/>
    </row>
    <row r="628" spans="1:8">
      <c r="A628" s="9" t="s">
        <v>2128</v>
      </c>
      <c r="B628" s="9" t="s">
        <v>2125</v>
      </c>
      <c r="H628" s="2"/>
    </row>
    <row r="629" spans="1:8">
      <c r="A629" s="9" t="s">
        <v>2129</v>
      </c>
      <c r="B629" s="9" t="s">
        <v>2246</v>
      </c>
      <c r="H629" s="2"/>
    </row>
    <row r="630" spans="1:8">
      <c r="A630" s="9" t="s">
        <v>2130</v>
      </c>
      <c r="B630" s="9" t="s">
        <v>2246</v>
      </c>
      <c r="H630" s="2"/>
    </row>
    <row r="631" spans="1:8">
      <c r="A631" s="9" t="s">
        <v>2131</v>
      </c>
      <c r="B631" s="9" t="s">
        <v>2246</v>
      </c>
      <c r="H631" s="2"/>
    </row>
    <row r="632" spans="1:8">
      <c r="A632" s="9" t="s">
        <v>2132</v>
      </c>
      <c r="B632" s="9" t="s">
        <v>2125</v>
      </c>
      <c r="H632" s="2"/>
    </row>
    <row r="633" spans="1:8">
      <c r="A633" s="9" t="s">
        <v>2133</v>
      </c>
      <c r="B633" s="9" t="s">
        <v>2246</v>
      </c>
      <c r="H633" s="2"/>
    </row>
    <row r="634" spans="1:8">
      <c r="A634" s="9" t="s">
        <v>2134</v>
      </c>
      <c r="B634" s="9" t="s">
        <v>2246</v>
      </c>
      <c r="H634" s="2"/>
    </row>
    <row r="635" spans="1:8">
      <c r="A635" s="9" t="s">
        <v>2135</v>
      </c>
      <c r="B635" s="2"/>
    </row>
    <row r="636" spans="1:8">
      <c r="A636" s="9" t="s">
        <v>2136</v>
      </c>
      <c r="B636" s="2"/>
      <c r="H636" s="2"/>
    </row>
    <row r="637" spans="1:8">
      <c r="B637" s="2"/>
      <c r="H637" s="2"/>
    </row>
    <row r="638" spans="1:8">
      <c r="H638" s="2"/>
    </row>
    <row r="639" spans="1:8">
      <c r="H639" s="2"/>
    </row>
    <row r="640" spans="1:8">
      <c r="G640" s="11"/>
      <c r="H640" s="2"/>
    </row>
    <row r="641" spans="7:8">
      <c r="G641" s="11"/>
      <c r="H641" s="2"/>
    </row>
    <row r="642" spans="7:8">
      <c r="G642" s="11"/>
      <c r="H642" s="2"/>
    </row>
    <row r="643" spans="7:8">
      <c r="H643" s="2"/>
    </row>
    <row r="644" spans="7:8">
      <c r="H644" s="2"/>
    </row>
    <row r="645" spans="7:8">
      <c r="H645" s="2"/>
    </row>
    <row r="646" spans="7:8">
      <c r="H646" s="2"/>
    </row>
    <row r="647" spans="7:8">
      <c r="H647" s="2"/>
    </row>
    <row r="648" spans="7:8">
      <c r="H648" s="2"/>
    </row>
    <row r="649" spans="7:8">
      <c r="H649" s="2"/>
    </row>
    <row r="651" spans="7:8">
      <c r="H651" s="2"/>
    </row>
    <row r="652" spans="7:8">
      <c r="H652" s="2"/>
    </row>
    <row r="653" spans="7:8">
      <c r="H653" s="2"/>
    </row>
    <row r="655" spans="7:8">
      <c r="H655" s="2"/>
    </row>
    <row r="656" spans="7:8">
      <c r="G656" s="12"/>
      <c r="H656" s="2"/>
    </row>
    <row r="657" spans="7:8">
      <c r="G657" s="287"/>
      <c r="H657" s="2"/>
    </row>
    <row r="658" spans="7:8">
      <c r="G658" s="287"/>
      <c r="H658" s="2"/>
    </row>
    <row r="659" spans="7:8">
      <c r="G659" s="287"/>
      <c r="H659" s="2"/>
    </row>
    <row r="660" spans="7:8">
      <c r="G660" s="287"/>
      <c r="H660" s="2"/>
    </row>
    <row r="661" spans="7:8">
      <c r="G661" s="287"/>
      <c r="H661" s="2"/>
    </row>
    <row r="662" spans="7:8">
      <c r="H662" s="2"/>
    </row>
    <row r="663" spans="7:8">
      <c r="H663" s="2"/>
    </row>
    <row r="664" spans="7:8">
      <c r="H664" s="2"/>
    </row>
    <row r="665" spans="7:8">
      <c r="G665" s="12"/>
      <c r="H665" s="2"/>
    </row>
    <row r="666" spans="7:8">
      <c r="G666" s="12"/>
      <c r="H666" s="2"/>
    </row>
    <row r="667" spans="7:8">
      <c r="H667" s="2"/>
    </row>
    <row r="670" spans="7:8">
      <c r="G670" s="12"/>
    </row>
    <row r="679" spans="1:8">
      <c r="G679" s="9"/>
    </row>
    <row r="680" spans="1:8">
      <c r="G680" s="9"/>
    </row>
    <row r="681" spans="1:8">
      <c r="G681" s="9"/>
    </row>
    <row r="682" spans="1:8">
      <c r="B682" s="8"/>
      <c r="G682" s="9"/>
    </row>
    <row r="683" spans="1:8">
      <c r="A683" s="2"/>
      <c r="H683" s="2"/>
    </row>
    <row r="684" spans="1:8">
      <c r="A684" s="2"/>
      <c r="B684" s="13"/>
      <c r="H684" s="2"/>
    </row>
    <row r="685" spans="1:8">
      <c r="H685" s="2"/>
    </row>
    <row r="686" spans="1:8">
      <c r="B686" s="8"/>
      <c r="H686" s="2"/>
    </row>
    <row r="687" spans="1:8">
      <c r="H687" s="2"/>
    </row>
    <row r="688" spans="1:8">
      <c r="B688" s="8"/>
    </row>
    <row r="689" spans="7:8">
      <c r="H689" s="2"/>
    </row>
    <row r="690" spans="7:8">
      <c r="H690" s="2"/>
    </row>
    <row r="691" spans="7:8">
      <c r="H691" s="2"/>
    </row>
    <row r="692" spans="7:8">
      <c r="H692" s="2"/>
    </row>
    <row r="693" spans="7:8">
      <c r="H693" s="2"/>
    </row>
    <row r="694" spans="7:8">
      <c r="H694" s="2"/>
    </row>
    <row r="695" spans="7:8">
      <c r="H695" s="2"/>
    </row>
    <row r="696" spans="7:8">
      <c r="H696" s="2"/>
    </row>
    <row r="698" spans="7:8">
      <c r="H698" s="2"/>
    </row>
    <row r="699" spans="7:8">
      <c r="H699" s="2"/>
    </row>
    <row r="700" spans="7:8">
      <c r="H700" s="2"/>
    </row>
    <row r="701" spans="7:8">
      <c r="G701" s="9"/>
      <c r="H701" s="2"/>
    </row>
    <row r="702" spans="7:8">
      <c r="H702" s="2"/>
    </row>
    <row r="703" spans="7:8">
      <c r="H703" s="2"/>
    </row>
    <row r="705" spans="6:8">
      <c r="H705" s="2"/>
    </row>
    <row r="706" spans="6:8">
      <c r="H706" s="2"/>
    </row>
    <row r="707" spans="6:8">
      <c r="H707" s="2"/>
    </row>
    <row r="709" spans="6:8">
      <c r="H709" s="2"/>
    </row>
    <row r="710" spans="6:8">
      <c r="F710" s="9"/>
      <c r="G710" s="9"/>
      <c r="H710" s="2"/>
    </row>
    <row r="711" spans="6:8">
      <c r="F711" s="9"/>
      <c r="H711" s="2"/>
    </row>
    <row r="712" spans="6:8">
      <c r="F712" s="9"/>
      <c r="G712" s="9"/>
      <c r="H712" s="2"/>
    </row>
    <row r="713" spans="6:8">
      <c r="H713" s="2"/>
    </row>
    <row r="714" spans="6:8">
      <c r="H714" s="2"/>
    </row>
    <row r="715" spans="6:8">
      <c r="H715" s="2"/>
    </row>
    <row r="717" spans="6:8">
      <c r="H717" s="2"/>
    </row>
    <row r="718" spans="6:8">
      <c r="H718" s="2"/>
    </row>
    <row r="719" spans="6:8">
      <c r="H719" s="2"/>
    </row>
    <row r="720" spans="6:8">
      <c r="H720" s="2"/>
    </row>
    <row r="721" spans="5:8">
      <c r="H721" s="2"/>
    </row>
    <row r="722" spans="5:8">
      <c r="H722" s="2"/>
    </row>
    <row r="723" spans="5:8">
      <c r="H723" s="2"/>
    </row>
    <row r="724" spans="5:8">
      <c r="H724" s="2"/>
    </row>
    <row r="726" spans="5:8">
      <c r="H726" s="2"/>
    </row>
    <row r="727" spans="5:8">
      <c r="H727" s="2"/>
    </row>
    <row r="728" spans="5:8">
      <c r="H728" s="2"/>
    </row>
    <row r="729" spans="5:8">
      <c r="H729" s="2"/>
    </row>
    <row r="731" spans="5:8">
      <c r="F731" s="8"/>
      <c r="H731" s="2"/>
    </row>
    <row r="732" spans="5:8">
      <c r="E732" s="285"/>
      <c r="F732" s="8"/>
      <c r="H732" s="2"/>
    </row>
    <row r="733" spans="5:8">
      <c r="F733" s="8"/>
      <c r="H733" s="2"/>
    </row>
    <row r="734" spans="5:8">
      <c r="F734" s="8"/>
      <c r="H734" s="2"/>
    </row>
    <row r="735" spans="5:8">
      <c r="E735" s="285"/>
      <c r="F735" s="8"/>
      <c r="H735" s="2"/>
    </row>
    <row r="736" spans="5:8">
      <c r="F736" s="8"/>
      <c r="H736" s="2"/>
    </row>
    <row r="737" spans="1:8">
      <c r="F737" s="8"/>
      <c r="H737" s="2"/>
    </row>
    <row r="738" spans="1:8">
      <c r="F738" s="8"/>
      <c r="H738" s="2"/>
    </row>
    <row r="739" spans="1:8">
      <c r="F739" s="8"/>
      <c r="H739" s="2"/>
    </row>
    <row r="740" spans="1:8">
      <c r="F740" s="8"/>
      <c r="H740" s="2"/>
    </row>
    <row r="741" spans="1:8">
      <c r="F741" s="8"/>
      <c r="H741" s="2"/>
    </row>
    <row r="742" spans="1:8">
      <c r="F742" s="8"/>
      <c r="H742" s="2"/>
    </row>
    <row r="743" spans="1:8">
      <c r="A743" s="2"/>
      <c r="B743" s="2"/>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F753" s="8"/>
      <c r="H753" s="2"/>
    </row>
    <row r="754" spans="1:8">
      <c r="A754" s="2"/>
      <c r="B754" s="2"/>
      <c r="F754" s="8"/>
      <c r="H754" s="2"/>
    </row>
    <row r="755" spans="1:8">
      <c r="A755" s="2"/>
      <c r="B755" s="2"/>
      <c r="E755" s="8"/>
      <c r="F755" s="8"/>
      <c r="H755" s="2"/>
    </row>
    <row r="756" spans="1:8">
      <c r="A756" s="2"/>
      <c r="B756" s="2"/>
      <c r="E756" s="8"/>
      <c r="F756" s="8"/>
      <c r="H756" s="2"/>
    </row>
    <row r="757" spans="1:8">
      <c r="A757" s="2"/>
      <c r="B757" s="2"/>
      <c r="E757" s="8"/>
      <c r="F757" s="8"/>
      <c r="H757" s="2"/>
    </row>
    <row r="758" spans="1:8">
      <c r="A758" s="2"/>
      <c r="B758" s="2"/>
      <c r="C758" s="8"/>
      <c r="E758" s="8"/>
      <c r="F758" s="8"/>
      <c r="H758" s="2"/>
    </row>
    <row r="759" spans="1:8">
      <c r="A759" s="2"/>
      <c r="B759" s="2"/>
      <c r="C759" s="8"/>
      <c r="E759" s="8"/>
      <c r="F759" s="8"/>
      <c r="H759" s="2"/>
    </row>
    <row r="760" spans="1:8">
      <c r="A760" s="2"/>
      <c r="B760" s="2"/>
      <c r="C760" s="8"/>
      <c r="E760" s="8"/>
      <c r="F760" s="8"/>
      <c r="H760" s="2"/>
    </row>
    <row r="761" spans="1:8">
      <c r="A761" s="2"/>
      <c r="B761" s="2"/>
      <c r="C761" s="8"/>
      <c r="D761" s="8"/>
      <c r="E761" s="8"/>
      <c r="F761" s="8"/>
      <c r="H761" s="2"/>
    </row>
    <row r="762" spans="1:8">
      <c r="A762" s="2"/>
      <c r="B762" s="2"/>
      <c r="C762" s="8"/>
      <c r="E762" s="8"/>
      <c r="F762" s="14"/>
      <c r="H762" s="2"/>
    </row>
    <row r="763" spans="1:8">
      <c r="A763" s="2"/>
      <c r="B763" s="2"/>
      <c r="C763" s="8"/>
      <c r="E763" s="8"/>
      <c r="F763" s="14"/>
      <c r="H763" s="2"/>
    </row>
    <row r="764" spans="1:8">
      <c r="A764" s="2"/>
      <c r="B764" s="2"/>
      <c r="C764" s="8"/>
      <c r="F764" s="14"/>
      <c r="H764" s="2"/>
    </row>
    <row r="765" spans="1:8">
      <c r="B765" s="2"/>
      <c r="C765" s="8"/>
      <c r="F765" s="8"/>
      <c r="H765" s="2"/>
    </row>
    <row r="766" spans="1:8">
      <c r="C766" s="8"/>
      <c r="F766" s="8"/>
      <c r="H766" s="2"/>
    </row>
    <row r="767" spans="1:8">
      <c r="F767" s="8"/>
      <c r="H767" s="2"/>
    </row>
    <row r="768" spans="1:8">
      <c r="F768" s="8"/>
      <c r="H768" s="2"/>
    </row>
    <row r="769" spans="4:8">
      <c r="F769" s="8"/>
      <c r="H769" s="2"/>
    </row>
    <row r="770" spans="4:8">
      <c r="F770" s="8"/>
      <c r="H770" s="2"/>
    </row>
    <row r="771" spans="4:8">
      <c r="F771" s="8"/>
      <c r="H771" s="2"/>
    </row>
    <row r="772" spans="4:8">
      <c r="F772" s="8"/>
      <c r="H772" s="2"/>
    </row>
    <row r="773" spans="4:8">
      <c r="D773" s="8"/>
      <c r="F773" s="8"/>
      <c r="H773" s="2"/>
    </row>
    <row r="774" spans="4:8">
      <c r="D774" s="8"/>
      <c r="F774" s="8"/>
      <c r="H774" s="2"/>
    </row>
    <row r="775" spans="4:8">
      <c r="D775" s="8"/>
      <c r="F775" s="8"/>
      <c r="H775" s="2"/>
    </row>
    <row r="776" spans="4:8">
      <c r="D776" s="8"/>
      <c r="F776" s="8"/>
      <c r="H776"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40" t="s">
        <v>3084</v>
      </c>
      <c r="B1" s="1426"/>
      <c r="C1" s="1427"/>
      <c r="D1" s="1138" t="s">
        <v>271</v>
      </c>
      <c r="E1" s="1432" t="s">
        <v>2138</v>
      </c>
      <c r="F1" s="1433"/>
      <c r="G1" s="1433"/>
      <c r="H1" s="1433"/>
      <c r="I1" s="1433"/>
      <c r="J1" s="1433"/>
      <c r="K1" s="1434"/>
      <c r="L1" s="1442">
        <f>E143/20/100</f>
        <v>0.38767520323377935</v>
      </c>
      <c r="M1" s="1442"/>
      <c r="N1" s="105" t="s">
        <v>1215</v>
      </c>
      <c r="O1" s="18"/>
      <c r="P1" s="490"/>
      <c r="Q1" s="490"/>
      <c r="R1" s="490"/>
      <c r="S1" s="491"/>
      <c r="T1" s="1118"/>
      <c r="U1" s="1119" t="s">
        <v>3045</v>
      </c>
      <c r="V1" s="1120"/>
      <c r="W1" s="1120"/>
      <c r="X1" s="1121"/>
      <c r="Y1" s="1122"/>
      <c r="Z1" s="27"/>
      <c r="AD1" s="1339"/>
      <c r="AE1" s="1339"/>
      <c r="AF1" s="1339"/>
    </row>
    <row r="2" spans="1:32" ht="13.5" thickBot="1">
      <c r="A2" s="1441"/>
      <c r="B2" s="1109" t="s">
        <v>1138</v>
      </c>
      <c r="C2" s="1110">
        <f>SUM('Damage Calc'!J2:J7)</f>
        <v>999.76072302481953</v>
      </c>
      <c r="D2" s="1111">
        <f>C2/$C$6</f>
        <v>0.6454990163924762</v>
      </c>
      <c r="E2" s="1428" t="str">
        <f>cycle</f>
        <v>Cycle: 1s/5r   SnD Slack: 1.31</v>
      </c>
      <c r="F2" s="1429"/>
      <c r="G2" s="1429"/>
      <c r="H2" s="1429"/>
      <c r="I2" s="1429"/>
      <c r="J2" s="1429"/>
      <c r="K2" s="1430"/>
      <c r="L2" s="1442">
        <f>(K143/dorate)/100</f>
        <v>0</v>
      </c>
      <c r="M2" s="1442"/>
      <c r="N2" s="105" t="s">
        <v>264</v>
      </c>
      <c r="O2" s="483"/>
      <c r="P2" s="490"/>
      <c r="Q2" s="490"/>
      <c r="R2" s="490"/>
      <c r="S2" s="491"/>
      <c r="T2" s="589" t="s">
        <v>3155</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35" t="s">
        <v>2137</v>
      </c>
      <c r="F3" s="1436"/>
      <c r="G3" s="1437" t="s">
        <v>771</v>
      </c>
      <c r="H3" s="1437"/>
      <c r="I3" s="1436" t="s">
        <v>768</v>
      </c>
      <c r="J3" s="1436"/>
      <c r="K3" s="1134" t="s">
        <v>770</v>
      </c>
      <c r="L3" s="1442">
        <f>(ROUNDDOWN(M143/defrating_def,0)*0.04)/100</f>
        <v>0</v>
      </c>
      <c r="M3" s="1442"/>
      <c r="N3" s="105" t="s">
        <v>1287</v>
      </c>
      <c r="O3" s="483"/>
      <c r="P3" s="18"/>
      <c r="Q3" s="18"/>
      <c r="R3" s="484"/>
      <c r="S3" s="485"/>
      <c r="T3" s="1129"/>
      <c r="U3" s="1124"/>
      <c r="V3" s="1124"/>
      <c r="W3" s="1124"/>
      <c r="X3" s="1124" t="s">
        <v>3075</v>
      </c>
      <c r="Y3" s="1126"/>
      <c r="Z3" s="1314"/>
      <c r="AD3" s="1339"/>
      <c r="AE3" s="1339"/>
      <c r="AF3" s="1339"/>
    </row>
    <row r="4" spans="1:32">
      <c r="A4" s="642"/>
      <c r="B4" s="1115" t="s">
        <v>2142</v>
      </c>
      <c r="C4" s="1116">
        <f>'Damage Calc'!J10+'Damage Calc'!J11+'Damage Calc'!J12</f>
        <v>119.41394881236066</v>
      </c>
      <c r="D4" s="1117">
        <f>C4/$C$6</f>
        <v>7.7100034765025194E-2</v>
      </c>
      <c r="E4" s="1438">
        <f>3524+INT(F143)*10</f>
        <v>9674</v>
      </c>
      <c r="F4" s="1439"/>
      <c r="G4" s="1402">
        <f>(1+'Gear &amp; Buffs'!$P$143/(hasterate*100))</f>
        <v>1.098864696979942</v>
      </c>
      <c r="H4" s="1402"/>
      <c r="I4" s="1431">
        <f>ap</f>
        <v>3151.8007204290034</v>
      </c>
      <c r="J4" s="1431"/>
      <c r="K4" s="1135">
        <f>'Damage Calc'!$Q$42</f>
        <v>4010</v>
      </c>
      <c r="L4" s="1401">
        <f>-0.59/100</f>
        <v>-5.8999999999999999E-3</v>
      </c>
      <c r="M4" s="1401"/>
      <c r="N4" s="105" t="s">
        <v>393</v>
      </c>
      <c r="O4" s="483"/>
      <c r="P4" s="45"/>
      <c r="Q4" s="158"/>
      <c r="R4" s="45"/>
      <c r="S4" s="45"/>
      <c r="T4" s="1129"/>
      <c r="U4" s="1124"/>
      <c r="V4" s="1124"/>
      <c r="W4" s="1124"/>
      <c r="X4" s="1124" t="s">
        <v>1898</v>
      </c>
      <c r="Y4" s="1126" t="b">
        <v>1</v>
      </c>
      <c r="Z4" s="1314"/>
      <c r="AD4" s="1339"/>
      <c r="AE4" s="1339"/>
      <c r="AF4" s="1339"/>
    </row>
    <row r="5" spans="1:32" ht="13.5" thickBot="1">
      <c r="A5" s="642"/>
      <c r="B5" s="1112" t="s">
        <v>2143</v>
      </c>
      <c r="C5" s="1113">
        <f>'Damage Calc'!J13+'Damage Calc'!J14+'Damage Calc'!J15+'Damage Calc'!J9</f>
        <v>107.10215665609692</v>
      </c>
      <c r="D5" s="1114">
        <f>C5/$C$6</f>
        <v>6.9150882989136159E-2</v>
      </c>
      <c r="E5" s="1423" t="s">
        <v>2140</v>
      </c>
      <c r="F5" s="1424"/>
      <c r="G5" s="1425" t="s">
        <v>2139</v>
      </c>
      <c r="H5" s="1425"/>
      <c r="I5" s="1424" t="s">
        <v>2141</v>
      </c>
      <c r="J5" s="1424"/>
      <c r="K5" s="1136" t="s">
        <v>2144</v>
      </c>
      <c r="L5" s="1401">
        <f>((CharLevel-BossLevel)*(0.2))/100</f>
        <v>-6.000000000000001E-3</v>
      </c>
      <c r="M5" s="1401"/>
      <c r="N5" s="482" t="s">
        <v>394</v>
      </c>
      <c r="O5" s="483"/>
      <c r="P5" s="18"/>
      <c r="Q5" s="484"/>
      <c r="R5" s="484"/>
      <c r="S5" s="486"/>
      <c r="T5" s="1129"/>
      <c r="U5" s="1124"/>
      <c r="V5" s="1124"/>
      <c r="W5" s="1124"/>
      <c r="X5" s="1124" t="s">
        <v>1915</v>
      </c>
      <c r="Y5" s="1126" t="b">
        <v>1</v>
      </c>
      <c r="Z5" s="1314"/>
      <c r="AD5" s="1339"/>
      <c r="AE5" s="1339"/>
      <c r="AF5" s="1339"/>
    </row>
    <row r="6" spans="1:32" ht="13.5" thickBot="1">
      <c r="A6" s="642"/>
      <c r="B6" s="1131" t="s">
        <v>2145</v>
      </c>
      <c r="C6" s="1132">
        <f>'Damage Calc'!J16</f>
        <v>1548.8183523690223</v>
      </c>
      <c r="D6" s="1133">
        <f>D2+D3+D4+D5</f>
        <v>0.99999999999999989</v>
      </c>
      <c r="E6" s="1422">
        <f>((E143/agicrit+G143/crrate)/100)+bwrath+(CharLevel-BossLevel)*bosscrit*5-IF(BossLevel*5-CharLevel*5&gt;10, 1.8%, 0)</f>
        <v>0.21803272356810921</v>
      </c>
      <c r="F6" s="1419"/>
      <c r="G6" s="1419">
        <f>'Damage Calc'!Q2+-'Gear &amp; Buffs'!I6</f>
        <v>0.26956097560975611</v>
      </c>
      <c r="H6" s="1419"/>
      <c r="I6" s="1419">
        <f>'Damage Calc'!B19</f>
        <v>4.3902439024390283E-4</v>
      </c>
      <c r="J6" s="1419"/>
      <c r="K6" s="1137">
        <f>'Damage Calc'!B20</f>
        <v>2.0000000000000004E-2</v>
      </c>
      <c r="L6" s="1400">
        <f>MAX((-0.59+E143/20+(K143/dorate)+(ROUNDDOWN(M143/defrating_def,0)*0.04))/100+0.2%*(CharLevel-BossLevel),0%)</f>
        <v>0.37577520323377933</v>
      </c>
      <c r="M6" s="1401"/>
      <c r="N6" s="105" t="s">
        <v>2144</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1177</v>
      </c>
      <c r="L7" s="1410">
        <f>Talents!H8</f>
        <v>0.4637752032337793</v>
      </c>
      <c r="M7" s="1411"/>
      <c r="N7" s="105" t="s">
        <v>1176</v>
      </c>
      <c r="O7" s="62"/>
      <c r="P7" s="488"/>
      <c r="Q7" s="488"/>
      <c r="R7" s="488"/>
      <c r="S7" s="488"/>
      <c r="T7" s="1130"/>
      <c r="U7" s="1127"/>
      <c r="V7" s="1127"/>
      <c r="W7" s="1127"/>
      <c r="X7" s="1127" t="s">
        <v>75</v>
      </c>
      <c r="Y7" s="1128" t="b">
        <v>1</v>
      </c>
      <c r="Z7" s="1314"/>
      <c r="AD7" s="1339"/>
      <c r="AE7" s="1339"/>
      <c r="AF7" s="1339"/>
    </row>
    <row r="8" spans="1:32" ht="22.5" customHeight="1" thickBot="1">
      <c r="A8" s="644"/>
      <c r="B8" s="34" t="s">
        <v>3083</v>
      </c>
      <c r="C8" s="1312">
        <f>C6-C7</f>
        <v>0</v>
      </c>
      <c r="D8" s="1313">
        <f>C8/$C$6</f>
        <v>0</v>
      </c>
      <c r="M8" s="35"/>
      <c r="N8" s="634"/>
      <c r="O8" s="635"/>
      <c r="R8" s="205" t="s">
        <v>274</v>
      </c>
      <c r="Y8" s="281" t="b">
        <v>1</v>
      </c>
      <c r="AD8" s="1339"/>
      <c r="AE8" s="1339"/>
      <c r="AF8" s="1339"/>
    </row>
    <row r="9" spans="1:32" ht="13.5" thickBot="1">
      <c r="A9" s="645"/>
      <c r="B9" s="641" t="s">
        <v>1213</v>
      </c>
      <c r="C9" s="638" t="s">
        <v>666</v>
      </c>
      <c r="D9" s="636" t="s">
        <v>1214</v>
      </c>
      <c r="E9" s="636" t="s">
        <v>1215</v>
      </c>
      <c r="F9" s="636" t="s">
        <v>1216</v>
      </c>
      <c r="G9" s="637" t="s">
        <v>2140</v>
      </c>
      <c r="H9" s="637" t="s">
        <v>2139</v>
      </c>
      <c r="I9" s="636" t="s">
        <v>768</v>
      </c>
      <c r="J9" s="636" t="s">
        <v>1217</v>
      </c>
      <c r="K9" s="636" t="s">
        <v>2144</v>
      </c>
      <c r="L9" s="638" t="s">
        <v>1582</v>
      </c>
      <c r="M9" s="638" t="s">
        <v>2166</v>
      </c>
      <c r="N9" s="638"/>
      <c r="O9" s="638"/>
      <c r="P9" s="638" t="s">
        <v>771</v>
      </c>
      <c r="Q9" s="639" t="s">
        <v>770</v>
      </c>
      <c r="R9" s="638" t="s">
        <v>1220</v>
      </c>
      <c r="S9" s="638" t="s">
        <v>1221</v>
      </c>
      <c r="T9" s="638" t="s">
        <v>1222</v>
      </c>
      <c r="U9" s="638" t="s">
        <v>1223</v>
      </c>
      <c r="V9" s="638" t="s">
        <v>764</v>
      </c>
      <c r="W9" s="636" t="s">
        <v>1224</v>
      </c>
      <c r="X9" s="636" t="s">
        <v>1225</v>
      </c>
      <c r="Y9" s="640" t="s">
        <v>1226</v>
      </c>
      <c r="AD9" s="1339"/>
      <c r="AE9" s="1339"/>
      <c r="AF9" s="1339"/>
    </row>
    <row r="10" spans="1:32">
      <c r="A10" s="611" t="s">
        <v>3047</v>
      </c>
      <c r="B10" s="610" t="s">
        <v>1381</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1228</v>
      </c>
      <c r="B11" s="608" t="s">
        <v>1229</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520</v>
      </c>
      <c r="B12" s="608" t="s">
        <v>521</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3048</v>
      </c>
      <c r="B16" s="610" t="s">
        <v>1392</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523</v>
      </c>
      <c r="B17" s="608" t="s">
        <v>1229</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2205</v>
      </c>
      <c r="B18" s="608" t="s">
        <v>2206</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2208</v>
      </c>
      <c r="B22" s="616" t="s">
        <v>1933</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12" t="s">
        <v>2210</v>
      </c>
      <c r="V22" s="1413"/>
      <c r="W22" s="1413"/>
      <c r="X22" s="1414"/>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05" t="s">
        <v>460</v>
      </c>
      <c r="V23" s="1409"/>
      <c r="W23" s="1409"/>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07" t="s">
        <v>2408</v>
      </c>
      <c r="V24" s="1404"/>
      <c r="W24" s="1404"/>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07" t="s">
        <v>2409</v>
      </c>
      <c r="V25" s="1404"/>
      <c r="W25" s="1404"/>
      <c r="X25" s="1107" t="b">
        <f>AND($Y$44,COUNTIF($S$10:$S$71,"Bonescythe")&gt;=8)</f>
        <v>0</v>
      </c>
      <c r="Y25" s="43"/>
      <c r="AA25" s="26"/>
      <c r="AB25" s="224"/>
      <c r="AC25" s="224"/>
      <c r="AD25" s="1339"/>
      <c r="AE25" s="122"/>
      <c r="AF25" s="1342"/>
    </row>
    <row r="26" spans="1:32">
      <c r="A26" s="611" t="s">
        <v>461</v>
      </c>
      <c r="B26" s="616" t="s">
        <v>462</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05" t="s">
        <v>463</v>
      </c>
      <c r="V26" s="1409"/>
      <c r="W26" s="1409"/>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464</v>
      </c>
      <c r="B27" s="608" t="s">
        <v>465</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05" t="s">
        <v>433</v>
      </c>
      <c r="V27" s="1409"/>
      <c r="W27" s="1409"/>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774</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07" t="s">
        <v>434</v>
      </c>
      <c r="V28" s="1404"/>
      <c r="W28" s="1404"/>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1979</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03" t="s">
        <v>2214</v>
      </c>
      <c r="V29" s="1404"/>
      <c r="W29" s="1404"/>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05" t="s">
        <v>435</v>
      </c>
      <c r="V30" s="1409"/>
      <c r="W30" s="1409"/>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05" t="s">
        <v>436</v>
      </c>
      <c r="V31" s="1409"/>
      <c r="W31" s="1409"/>
      <c r="X31" s="1106" t="b">
        <f>AND($Y$44,COUNTIF($S$10:$S$71,"Netherblade")&gt;=4)</f>
        <v>0</v>
      </c>
      <c r="AA31" s="26"/>
      <c r="AB31" s="224"/>
      <c r="AC31" s="224"/>
      <c r="AD31" s="1339"/>
      <c r="AE31" s="122"/>
      <c r="AF31" s="1342"/>
    </row>
    <row r="32" spans="1:32">
      <c r="A32" s="611" t="s">
        <v>437</v>
      </c>
      <c r="B32" s="616" t="s">
        <v>657</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07" t="s">
        <v>658</v>
      </c>
      <c r="V32" s="1404"/>
      <c r="W32" s="1404"/>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05" t="s">
        <v>659</v>
      </c>
      <c r="V33" s="1409"/>
      <c r="W33" s="1409"/>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07" t="s">
        <v>1115</v>
      </c>
      <c r="V34" s="1408"/>
      <c r="W34" s="1408"/>
      <c r="X34" s="1107" t="b">
        <f>AND($Y$44,COUNTIF($S$10:$S$71,"Wastewalker")&gt;=2)</f>
        <v>1</v>
      </c>
      <c r="Y34" s="23">
        <f>IF(X34,35,0)</f>
        <v>35</v>
      </c>
      <c r="AA34" s="26"/>
      <c r="AB34" s="224"/>
      <c r="AC34" s="223"/>
      <c r="AD34" s="1339"/>
      <c r="AE34" s="122"/>
      <c r="AF34" s="1342"/>
    </row>
    <row r="35" spans="1:32">
      <c r="A35" s="611" t="s">
        <v>660</v>
      </c>
      <c r="B35" s="616" t="s">
        <v>1015</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07" t="s">
        <v>1116</v>
      </c>
      <c r="V35" s="1408"/>
      <c r="W35" s="1408"/>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09" t="s">
        <v>1018</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05" t="s">
        <v>1119</v>
      </c>
      <c r="V36" s="1406"/>
      <c r="W36" s="1406"/>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1983</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05" t="s">
        <v>1122</v>
      </c>
      <c r="V37" s="1406"/>
      <c r="W37" s="1406"/>
      <c r="X37" s="1106" t="b">
        <f>AND($Y$44,COUNTIF($S$10:$S$71,"Slayer")&gt;=4)</f>
        <v>0</v>
      </c>
      <c r="Y37" s="23">
        <f>IF(Slayer4=TRUE,1.06,1)</f>
        <v>1</v>
      </c>
      <c r="AA37" s="26"/>
      <c r="AB37" s="224"/>
      <c r="AC37" s="224"/>
      <c r="AD37" s="1339"/>
      <c r="AE37" s="122"/>
      <c r="AF37" s="1342"/>
    </row>
    <row r="38" spans="1:32">
      <c r="A38" s="189"/>
      <c r="B38" s="598" t="s">
        <v>1983</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07" t="s">
        <v>1123</v>
      </c>
      <c r="V38" s="1404"/>
      <c r="W38" s="1404"/>
      <c r="X38" s="1107" t="b">
        <f>AND($Y$44,COUNTIF($S$10:$S$71,"Twinblade")&gt;=2)</f>
        <v>0</v>
      </c>
      <c r="Y38" s="44"/>
      <c r="Z38" s="201"/>
      <c r="AB38" s="224"/>
      <c r="AC38" s="224"/>
      <c r="AD38" s="1339"/>
      <c r="AE38" s="122"/>
      <c r="AF38" s="1342"/>
    </row>
    <row r="39" spans="1:32" ht="13.5" thickBot="1">
      <c r="A39" s="611" t="s">
        <v>1117</v>
      </c>
      <c r="B39" s="616" t="s">
        <v>1118</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17" t="s">
        <v>962</v>
      </c>
      <c r="V39" s="1418"/>
      <c r="W39" s="1418"/>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8" t="s">
        <v>1121</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3085</v>
      </c>
      <c r="X41" s="187"/>
      <c r="Y41" s="187"/>
      <c r="Z41" s="187"/>
      <c r="AA41" s="187"/>
      <c r="AB41" s="225"/>
      <c r="AC41" s="226"/>
      <c r="AD41" s="1341"/>
      <c r="AE41" s="122"/>
      <c r="AF41" s="1342"/>
    </row>
    <row r="42" spans="1:32">
      <c r="A42" s="611" t="s">
        <v>1124</v>
      </c>
      <c r="B42" s="617" t="s">
        <v>822</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3114</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8" t="s">
        <v>1268</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3245</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1983</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3116</v>
      </c>
      <c r="W44" s="189"/>
      <c r="X44" s="189"/>
      <c r="Y44" s="189" t="b">
        <v>1</v>
      </c>
      <c r="Z44" s="1124"/>
      <c r="AA44" s="64" t="s">
        <v>3115</v>
      </c>
      <c r="AB44" s="227"/>
      <c r="AC44" s="228" t="b">
        <v>1</v>
      </c>
      <c r="AD44" s="1341"/>
      <c r="AE44" s="122"/>
      <c r="AF44" s="1342"/>
    </row>
    <row r="45" spans="1:32">
      <c r="A45" s="189"/>
      <c r="B45" s="604" t="s">
        <v>1979</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1687</v>
      </c>
      <c r="X46" s="189"/>
      <c r="Y46" s="189"/>
      <c r="Z46" s="189"/>
      <c r="AA46" s="189"/>
      <c r="AB46" s="227"/>
      <c r="AC46" s="228"/>
      <c r="AD46" s="1341"/>
      <c r="AE46" s="122"/>
      <c r="AF46" s="1342"/>
    </row>
    <row r="47" spans="1:32">
      <c r="A47" s="611" t="s">
        <v>1269</v>
      </c>
      <c r="B47" s="617" t="s">
        <v>1301</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1690</v>
      </c>
      <c r="W47" s="189"/>
      <c r="X47" s="189"/>
      <c r="Y47" s="1141" t="s">
        <v>2301</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8" t="s">
        <v>1271</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1" t="s">
        <v>2301</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1983</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2075</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471</v>
      </c>
      <c r="W50" s="189"/>
      <c r="X50" s="189"/>
      <c r="Y50" s="189"/>
      <c r="Z50" s="1124"/>
      <c r="AA50" s="64" t="s">
        <v>1030</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8" t="s">
        <v>2077</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466</v>
      </c>
      <c r="W51" s="189"/>
      <c r="X51" s="189"/>
      <c r="Y51" s="64" t="b">
        <v>1</v>
      </c>
      <c r="Z51" s="64" t="s">
        <v>3086</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1983</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1688</v>
      </c>
      <c r="W52" s="189"/>
      <c r="X52" s="189"/>
      <c r="Y52" s="64" t="b">
        <v>1</v>
      </c>
      <c r="Z52" s="197" t="s">
        <v>3087</v>
      </c>
      <c r="AA52" s="189"/>
      <c r="AB52" s="227"/>
      <c r="AC52" s="229"/>
      <c r="AD52" s="1341"/>
      <c r="AE52" s="122"/>
      <c r="AF52" s="1342"/>
    </row>
    <row r="53" spans="1:32">
      <c r="A53" s="189"/>
      <c r="B53" s="598" t="s">
        <v>1983</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467</v>
      </c>
      <c r="W53" s="189"/>
      <c r="X53" s="189"/>
      <c r="Y53" s="64" t="b">
        <v>1</v>
      </c>
      <c r="Z53" s="189"/>
      <c r="AA53" s="189"/>
      <c r="AB53" s="227"/>
      <c r="AC53" s="229"/>
      <c r="AD53" s="1341"/>
      <c r="AE53" s="122"/>
      <c r="AF53" s="1342"/>
    </row>
    <row r="54" spans="1:32">
      <c r="A54" s="611" t="s">
        <v>2078</v>
      </c>
      <c r="B54" s="616" t="s">
        <v>1532</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688</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806</v>
      </c>
      <c r="W55" s="189"/>
      <c r="X55" s="189"/>
      <c r="Y55" s="64" t="b">
        <v>1</v>
      </c>
      <c r="Z55" s="1124"/>
      <c r="AA55" s="64" t="s">
        <v>920</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2080</v>
      </c>
      <c r="B57" s="616" t="s">
        <v>2081</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8" t="s">
        <v>1342</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473</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1983</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472</v>
      </c>
      <c r="W59" s="189"/>
      <c r="X59" s="189"/>
      <c r="Y59" s="64" t="b">
        <v>1</v>
      </c>
      <c r="Z59" s="189"/>
      <c r="AA59" s="189"/>
      <c r="AB59" s="189"/>
      <c r="AC59" s="190"/>
      <c r="AD59" s="1341"/>
      <c r="AE59" s="1341"/>
      <c r="AF59" s="1343"/>
    </row>
    <row r="60" spans="1:32">
      <c r="A60" s="189"/>
      <c r="B60" s="598" t="s">
        <v>1983</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468</v>
      </c>
      <c r="W60" s="189"/>
      <c r="X60" s="189"/>
      <c r="Y60" s="64" t="b">
        <v>1</v>
      </c>
      <c r="Z60" s="189"/>
      <c r="AA60" s="191" t="s">
        <v>469</v>
      </c>
      <c r="AB60" s="189"/>
      <c r="AC60" s="190"/>
      <c r="AD60" s="1341"/>
      <c r="AE60" s="1341"/>
      <c r="AF60" s="1343"/>
    </row>
    <row r="61" spans="1:32">
      <c r="A61" s="189"/>
      <c r="B61" s="598" t="s">
        <v>1983</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3088</v>
      </c>
      <c r="W61" s="189"/>
      <c r="X61" s="189"/>
      <c r="Y61" s="64" t="b">
        <v>1</v>
      </c>
      <c r="Z61" s="1124"/>
      <c r="AA61" s="27" t="s">
        <v>673</v>
      </c>
      <c r="AB61" s="189"/>
      <c r="AC61" s="503" t="b">
        <v>1</v>
      </c>
      <c r="AD61" s="122"/>
      <c r="AE61" s="122"/>
      <c r="AF61" s="1342"/>
    </row>
    <row r="62" spans="1:32">
      <c r="A62" s="611" t="s">
        <v>1415</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676</v>
      </c>
      <c r="W62" s="189"/>
      <c r="X62" s="189"/>
      <c r="Y62" s="64" t="b">
        <v>1</v>
      </c>
      <c r="Z62" s="1124"/>
      <c r="AA62" s="27" t="s">
        <v>691</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672</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1983</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2801</v>
      </c>
      <c r="W64" s="189"/>
      <c r="X64" s="189"/>
      <c r="Y64" s="189"/>
      <c r="Z64" s="1124"/>
      <c r="AA64" s="189" t="s">
        <v>681</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2800</v>
      </c>
      <c r="W65" s="189"/>
      <c r="X65" s="189"/>
      <c r="Y65" s="64" t="b">
        <v>1</v>
      </c>
      <c r="Z65" s="1124"/>
      <c r="AA65" s="189" t="s">
        <v>682</v>
      </c>
      <c r="AB65" s="189"/>
      <c r="AC65" s="503" t="b">
        <v>1</v>
      </c>
      <c r="AD65" s="122"/>
      <c r="AE65" s="122"/>
      <c r="AF65" s="1342"/>
    </row>
    <row r="66" spans="1:32">
      <c r="A66" s="611" t="s">
        <v>258</v>
      </c>
      <c r="B66" s="617" t="s">
        <v>492</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2802</v>
      </c>
      <c r="W66" s="189"/>
      <c r="X66" s="189"/>
      <c r="Y66" s="64" t="b">
        <v>0</v>
      </c>
      <c r="Z66" s="1124"/>
      <c r="AA66" s="27" t="s">
        <v>1686</v>
      </c>
      <c r="AB66" s="189"/>
      <c r="AC66" s="503" t="b">
        <v>1</v>
      </c>
      <c r="AD66" s="122"/>
      <c r="AE66" s="122"/>
      <c r="AF66" s="1342">
        <f>$D66*dpsStr+$E66*dpsAgi+$G66*dpsCrit+$H66*dpsHit+$I66*dpsAP+$L66*dpsExp+$P66*dpsHaste+$Q66*dpsArmor</f>
        <v>130.73802482919473</v>
      </c>
    </row>
    <row r="67" spans="1:32">
      <c r="A67" s="189" t="s">
        <v>260</v>
      </c>
      <c r="B67" s="609" t="s">
        <v>1689</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2803</v>
      </c>
      <c r="W67" s="189"/>
      <c r="X67" s="189"/>
      <c r="Y67" s="64" t="b">
        <v>0</v>
      </c>
      <c r="Z67" s="1124"/>
      <c r="AA67" s="27" t="s">
        <v>679</v>
      </c>
      <c r="AB67" s="189"/>
      <c r="AC67" s="503" t="b">
        <v>1</v>
      </c>
      <c r="AD67" s="122"/>
      <c r="AE67" s="122"/>
      <c r="AF67" s="1342">
        <f>$D67*dpsStr+$E67*dpsAgi+$G67*dpsCrit+$H67*dpsHit+$I67*dpsAP+$L67*dpsExp+$P67*dpsHaste+$Q67*dpsArmor</f>
        <v>0</v>
      </c>
    </row>
    <row r="68" spans="1:32">
      <c r="A68" s="611" t="s">
        <v>1567</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2804</v>
      </c>
      <c r="W68" s="189"/>
      <c r="X68" s="189"/>
      <c r="Y68" s="64" t="b">
        <v>0</v>
      </c>
      <c r="Z68" s="1124"/>
      <c r="AA68" s="189" t="s">
        <v>667</v>
      </c>
      <c r="AB68" s="189"/>
      <c r="AC68" s="503" t="b">
        <v>1</v>
      </c>
      <c r="AD68" s="122"/>
      <c r="AE68" s="122"/>
      <c r="AF68" s="1342">
        <f>$D68*dpsStr+$E68*dpsAgi+$G68*dpsCrit+$H68*dpsHit+$I68*dpsAP+$L68*dpsExp+$P68*dpsHaste+$Q68*dpsArmor</f>
        <v>136.94643403976124</v>
      </c>
    </row>
    <row r="69" spans="1:32">
      <c r="A69" s="189" t="s">
        <v>260</v>
      </c>
      <c r="B69" s="609" t="s">
        <v>1689</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2805</v>
      </c>
      <c r="W69" s="189"/>
      <c r="X69" s="189"/>
      <c r="Y69" s="64" t="b">
        <v>0</v>
      </c>
      <c r="Z69" s="1124"/>
      <c r="AA69" s="189" t="s">
        <v>470</v>
      </c>
      <c r="AB69" s="189"/>
      <c r="AC69" s="503" t="b">
        <v>1</v>
      </c>
      <c r="AD69" s="122"/>
      <c r="AE69" s="122"/>
      <c r="AF69" s="1342">
        <f>$D69*dpsStr+$E69*dpsAgi+$G69*dpsCrit+$H69*dpsHit+$I69*dpsAP+$L69*dpsExp+$P69*dpsHaste+$Q69*dpsArmor</f>
        <v>0</v>
      </c>
    </row>
    <row r="70" spans="1:32" ht="12.75" customHeight="1">
      <c r="A70" s="611" t="s">
        <v>1937</v>
      </c>
      <c r="B70" s="617" t="s">
        <v>1938</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683</v>
      </c>
      <c r="AB70" s="189"/>
      <c r="AC70" s="503" t="b">
        <v>1</v>
      </c>
      <c r="AD70" s="122"/>
      <c r="AE70" s="122"/>
      <c r="AF70" s="1342">
        <f>$D70*dpsStr+$E70*dpsAgi+$G70*dpsCrit+$H70*dpsHit+$I70*dpsAP+$L70*dpsExp+$P70*dpsHaste+$Q70*dpsArmor+VLOOKUP($B70,TrinketStats,23,FALSE)</f>
        <v>383.01956481837374</v>
      </c>
    </row>
    <row r="71" spans="1:32">
      <c r="A71" s="611" t="s">
        <v>1939</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801</v>
      </c>
      <c r="W71" s="189"/>
      <c r="X71" s="189"/>
      <c r="Y71" s="189"/>
      <c r="Z71" s="1124"/>
      <c r="AA71" s="64" t="s">
        <v>684</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802</v>
      </c>
      <c r="W72" s="189"/>
      <c r="X72" s="189"/>
      <c r="Y72" s="189" t="b">
        <v>0</v>
      </c>
      <c r="Z72" s="1124"/>
      <c r="AA72" s="197" t="s">
        <v>664</v>
      </c>
      <c r="AB72" s="189"/>
      <c r="AC72" s="190" t="b">
        <v>1</v>
      </c>
      <c r="AD72" s="122"/>
      <c r="AE72" s="122"/>
      <c r="AF72" s="1339"/>
    </row>
    <row r="73" spans="1:32" ht="12.75" customHeight="1">
      <c r="A73" s="189"/>
      <c r="B73" s="596" t="s">
        <v>1941</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803</v>
      </c>
      <c r="W73" s="189"/>
      <c r="X73" s="189"/>
      <c r="Y73" s="189" t="b">
        <v>1</v>
      </c>
      <c r="Z73" s="1124"/>
      <c r="AA73" s="197" t="s">
        <v>871</v>
      </c>
      <c r="AB73" s="189"/>
      <c r="AC73" s="190" t="b">
        <v>1</v>
      </c>
      <c r="AD73" s="122"/>
      <c r="AE73" s="122"/>
      <c r="AF73" s="1339"/>
    </row>
    <row r="74" spans="1:32">
      <c r="A74" s="189"/>
      <c r="B74" s="1142" t="s">
        <v>2466</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804</v>
      </c>
      <c r="W74" s="189"/>
      <c r="X74" s="189"/>
      <c r="Y74" s="189" t="b">
        <v>0</v>
      </c>
      <c r="Z74" s="1124"/>
      <c r="AA74" s="27" t="s">
        <v>2797</v>
      </c>
      <c r="AB74" s="189"/>
      <c r="AC74" s="190" t="b">
        <v>1</v>
      </c>
      <c r="AD74" s="1341"/>
      <c r="AE74" s="1341"/>
      <c r="AF74" s="1341"/>
    </row>
    <row r="75" spans="1:32" ht="13.5" thickBot="1">
      <c r="A75" s="189"/>
      <c r="B75" s="592" t="s">
        <v>1898</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20" t="s">
        <v>1942</v>
      </c>
      <c r="C78" s="1421"/>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1943</v>
      </c>
      <c r="B79" s="646"/>
      <c r="C79" s="647" t="s">
        <v>1944</v>
      </c>
      <c r="D79" s="647" t="s">
        <v>1214</v>
      </c>
      <c r="E79" s="647" t="s">
        <v>1215</v>
      </c>
      <c r="F79" s="647" t="s">
        <v>1216</v>
      </c>
      <c r="G79" s="647" t="s">
        <v>2140</v>
      </c>
      <c r="H79" s="647" t="s">
        <v>2139</v>
      </c>
      <c r="I79" s="647" t="s">
        <v>768</v>
      </c>
      <c r="J79" s="647" t="s">
        <v>1217</v>
      </c>
      <c r="K79" s="647" t="s">
        <v>2144</v>
      </c>
      <c r="L79" s="647" t="s">
        <v>1582</v>
      </c>
      <c r="M79" s="647" t="s">
        <v>2166</v>
      </c>
      <c r="N79" s="647"/>
      <c r="O79" s="647"/>
      <c r="P79" s="647" t="s">
        <v>771</v>
      </c>
      <c r="Q79" s="648" t="s">
        <v>770</v>
      </c>
      <c r="R79" s="50"/>
      <c r="S79" s="50"/>
      <c r="T79" s="31"/>
      <c r="U79" s="189"/>
      <c r="V79" s="189"/>
      <c r="W79" s="189"/>
      <c r="X79" s="189"/>
      <c r="Y79" s="189"/>
      <c r="Z79" s="189"/>
      <c r="AA79" s="189"/>
      <c r="AB79" s="189"/>
      <c r="AC79" s="189"/>
      <c r="AD79" s="1341"/>
      <c r="AE79" s="1341"/>
      <c r="AF79" s="20"/>
    </row>
    <row r="80" spans="1:32">
      <c r="A80" s="629"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3102</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623</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1952</v>
      </c>
      <c r="B95" s="622"/>
      <c r="C95" s="623"/>
      <c r="D95" s="619" t="s">
        <v>1214</v>
      </c>
      <c r="E95" s="619" t="s">
        <v>1215</v>
      </c>
      <c r="F95" s="619" t="s">
        <v>1216</v>
      </c>
      <c r="G95" s="619" t="s">
        <v>2140</v>
      </c>
      <c r="H95" s="619" t="s">
        <v>2139</v>
      </c>
      <c r="I95" s="619" t="s">
        <v>768</v>
      </c>
      <c r="J95" s="619" t="s">
        <v>1217</v>
      </c>
      <c r="K95" s="619" t="s">
        <v>2144</v>
      </c>
      <c r="L95" s="619" t="s">
        <v>1582</v>
      </c>
      <c r="M95" s="619" t="s">
        <v>2166</v>
      </c>
      <c r="N95" s="619"/>
      <c r="O95" s="619"/>
      <c r="P95" s="619" t="s">
        <v>771</v>
      </c>
      <c r="Q95" s="620" t="s">
        <v>770</v>
      </c>
      <c r="R95" s="46"/>
      <c r="S95" s="46"/>
      <c r="T95" s="56"/>
      <c r="V95" s="27"/>
      <c r="W95" s="27"/>
      <c r="X95" s="27"/>
      <c r="AD95" s="1339"/>
      <c r="AE95" s="1339"/>
      <c r="AF95" s="1339"/>
    </row>
    <row r="96" spans="1:32">
      <c r="A96" s="30" t="s">
        <v>1954</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557</v>
      </c>
      <c r="B98" s="164">
        <v>0</v>
      </c>
      <c r="C98" s="57"/>
      <c r="D98" s="58"/>
      <c r="E98" s="49"/>
      <c r="F98" s="49"/>
      <c r="G98" s="49">
        <f>IF(Talents!O36="No",B98*5*crrate,0)</f>
        <v>0</v>
      </c>
      <c r="H98" s="49"/>
      <c r="I98" s="49"/>
      <c r="AD98" s="1339"/>
      <c r="AE98" s="1339"/>
      <c r="AF98" s="1339"/>
    </row>
    <row r="99" spans="1:32">
      <c r="A99" s="627" t="s">
        <v>555</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1662</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556</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2229</v>
      </c>
      <c r="B103" s="164">
        <v>0</v>
      </c>
      <c r="C103" s="57">
        <v>3</v>
      </c>
      <c r="D103" s="58"/>
      <c r="E103" s="49"/>
      <c r="F103" s="49"/>
      <c r="G103" s="49"/>
      <c r="H103" s="49"/>
      <c r="I103" s="49"/>
      <c r="AD103" s="1339"/>
      <c r="AE103" s="1339"/>
      <c r="AF103" s="1339"/>
    </row>
    <row r="104" spans="1:32">
      <c r="A104" s="631" t="s">
        <v>536</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537</v>
      </c>
      <c r="B105" s="164">
        <v>1</v>
      </c>
      <c r="C105" s="57">
        <v>5</v>
      </c>
      <c r="D105" s="61"/>
      <c r="E105" s="59"/>
      <c r="F105" s="59"/>
      <c r="G105" s="49"/>
      <c r="H105" s="49"/>
      <c r="I105" s="49">
        <f>IF(Talents!O36="No",B105*220*(1+$C105*0.04),0)</f>
        <v>264</v>
      </c>
      <c r="AD105" s="1339"/>
      <c r="AE105" s="1339"/>
      <c r="AF105" s="1339"/>
    </row>
    <row r="106" spans="1:32">
      <c r="A106" s="631" t="s">
        <v>2889</v>
      </c>
      <c r="B106" s="164">
        <v>0</v>
      </c>
      <c r="C106" s="57">
        <v>2</v>
      </c>
      <c r="D106" s="58"/>
      <c r="E106" s="49"/>
      <c r="F106" s="49"/>
      <c r="G106" s="49"/>
      <c r="H106" s="49"/>
      <c r="I106" s="49"/>
      <c r="AD106" s="1339"/>
      <c r="AE106" s="1339"/>
      <c r="AF106" s="1339"/>
    </row>
    <row r="107" spans="1:32">
      <c r="A107" s="633"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538</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539</v>
      </c>
      <c r="B109" s="164">
        <v>1</v>
      </c>
      <c r="C109" s="57">
        <v>2</v>
      </c>
      <c r="D109" s="58">
        <f>IF(Talents!O36="No",B109*86*IF($C109=2,1.15,IF($C109=1,1.08,1)),0)</f>
        <v>98.899999999999991</v>
      </c>
      <c r="E109" s="49"/>
      <c r="F109" s="49"/>
      <c r="G109" s="49"/>
      <c r="H109" s="49"/>
      <c r="I109" s="49"/>
      <c r="AD109" s="1339"/>
      <c r="AE109" s="1339"/>
      <c r="AF109" s="1339"/>
    </row>
    <row r="110" spans="1:32">
      <c r="A110" s="885" t="s">
        <v>540</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541</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2891</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543</v>
      </c>
      <c r="B116" s="622"/>
      <c r="C116" s="625"/>
      <c r="D116" s="619" t="s">
        <v>1214</v>
      </c>
      <c r="E116" s="619" t="s">
        <v>1215</v>
      </c>
      <c r="F116" s="619" t="s">
        <v>1216</v>
      </c>
      <c r="G116" s="619" t="s">
        <v>2140</v>
      </c>
      <c r="H116" s="619" t="s">
        <v>2139</v>
      </c>
      <c r="I116" s="619" t="s">
        <v>768</v>
      </c>
      <c r="J116" s="619" t="s">
        <v>1217</v>
      </c>
      <c r="K116" s="619" t="s">
        <v>2144</v>
      </c>
      <c r="L116" s="619" t="s">
        <v>1582</v>
      </c>
      <c r="M116" s="619" t="s">
        <v>2166</v>
      </c>
      <c r="N116" s="619"/>
      <c r="O116" s="619"/>
      <c r="P116" s="619" t="s">
        <v>771</v>
      </c>
      <c r="Q116" s="620" t="s">
        <v>770</v>
      </c>
      <c r="R116" s="46"/>
      <c r="S116" s="21"/>
      <c r="T116" s="31"/>
      <c r="W116" s="27"/>
      <c r="AD116" s="1339"/>
      <c r="AE116" s="1339"/>
      <c r="AF116" s="1339"/>
    </row>
    <row r="117" spans="1:32">
      <c r="A117" s="60" t="s">
        <v>1328</v>
      </c>
      <c r="B117" s="164">
        <v>1</v>
      </c>
      <c r="C117" s="57"/>
      <c r="D117" s="49"/>
      <c r="E117" s="49"/>
      <c r="F117" s="49"/>
      <c r="G117" s="49"/>
      <c r="H117" s="49"/>
      <c r="I117" s="49">
        <f>IF(Talents!O36="No",B117*120,0)</f>
        <v>120</v>
      </c>
      <c r="P117" s="49"/>
      <c r="Q117" s="49"/>
      <c r="AD117" s="1339"/>
      <c r="AE117" s="1339"/>
      <c r="AF117" s="1339"/>
    </row>
    <row r="118" spans="1:32">
      <c r="A118" s="60" t="s">
        <v>1333</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1329</v>
      </c>
      <c r="B122" s="164">
        <v>0</v>
      </c>
      <c r="C122" s="57"/>
      <c r="D122" s="49"/>
      <c r="E122" s="49"/>
      <c r="F122" s="49">
        <f>IF(Talents!O36="No",B122*-10,0)</f>
        <v>0</v>
      </c>
      <c r="G122" s="49"/>
      <c r="H122" s="49"/>
      <c r="I122" s="49">
        <f>IF(Talents!O36="No",B122*90,0)</f>
        <v>0</v>
      </c>
      <c r="P122" s="49"/>
      <c r="Q122" s="49"/>
      <c r="AD122" s="1339"/>
      <c r="AE122" s="1339"/>
      <c r="AF122" s="1339"/>
    </row>
    <row r="123" spans="1:32">
      <c r="A123" s="60" t="s">
        <v>1330</v>
      </c>
      <c r="B123" s="164">
        <v>0</v>
      </c>
      <c r="C123" s="57"/>
      <c r="D123" s="49"/>
      <c r="E123" s="49"/>
      <c r="F123" s="49"/>
      <c r="G123" s="49"/>
      <c r="H123" s="49"/>
      <c r="I123" s="49">
        <f>IF(Talents!O36="No",B123*60,0)</f>
        <v>0</v>
      </c>
      <c r="P123" s="49"/>
      <c r="Q123" s="49"/>
      <c r="AD123" s="1339"/>
      <c r="AE123" s="1339"/>
      <c r="AF123" s="1339"/>
    </row>
    <row r="124" spans="1:32">
      <c r="A124" s="60" t="s">
        <v>1327</v>
      </c>
      <c r="B124" s="164">
        <v>0</v>
      </c>
      <c r="C124" s="57"/>
      <c r="D124" s="49"/>
      <c r="E124" s="49">
        <f>IF(Talents!O36="No",B124*25,0)</f>
        <v>0</v>
      </c>
      <c r="F124" s="49"/>
      <c r="G124" s="49"/>
      <c r="H124" s="49"/>
      <c r="I124" s="49"/>
      <c r="P124" s="49"/>
      <c r="Q124" s="49"/>
      <c r="AD124" s="1339"/>
      <c r="AE124" s="1339"/>
      <c r="AF124" s="1339"/>
    </row>
    <row r="125" spans="1:32">
      <c r="A125" s="872" t="s">
        <v>2886</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1902</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1903</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1325</v>
      </c>
      <c r="B132" s="164">
        <v>1</v>
      </c>
      <c r="C132" s="57"/>
      <c r="E132" s="49">
        <f>IF(Talents!O36="No",B132*20,0)</f>
        <v>20</v>
      </c>
      <c r="F132" s="49"/>
      <c r="G132" s="49"/>
      <c r="H132" s="49"/>
      <c r="I132" s="49"/>
      <c r="T132" s="31"/>
      <c r="AD132" s="1339"/>
      <c r="AE132" s="1339"/>
      <c r="AF132" s="1339"/>
    </row>
    <row r="133" spans="1:32">
      <c r="A133" s="60" t="s">
        <v>1326</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1334</v>
      </c>
      <c r="B135" s="164">
        <v>1</v>
      </c>
      <c r="C135" s="57"/>
      <c r="D135" s="49"/>
      <c r="E135" s="49"/>
      <c r="F135" s="49"/>
      <c r="G135" s="49"/>
      <c r="H135" s="49"/>
      <c r="I135" s="49"/>
      <c r="P135" s="23">
        <f>IF(Talents!O36="No",IF(time=0, B135*400*15/120, 0),0)</f>
        <v>0</v>
      </c>
      <c r="Q135" s="49"/>
      <c r="AD135" s="1339"/>
      <c r="AE135" s="1339"/>
      <c r="AF135" s="1339"/>
    </row>
    <row r="136" spans="1:32">
      <c r="A136" s="60" t="s">
        <v>1332</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1331</v>
      </c>
      <c r="B137" s="164">
        <v>0</v>
      </c>
      <c r="C137" s="57"/>
      <c r="D137" s="49"/>
      <c r="E137" s="49"/>
      <c r="F137" s="49"/>
      <c r="G137" s="49"/>
      <c r="H137" s="49"/>
      <c r="I137" s="49">
        <f>IF(AND(Talents!O36="No",B136=0),IF(time=0, B137*60*30/120, 0),0)</f>
        <v>0</v>
      </c>
      <c r="P137" s="49"/>
      <c r="Q137" s="49"/>
      <c r="AD137" s="1339"/>
      <c r="AE137" s="1339"/>
      <c r="AF137" s="1339"/>
    </row>
    <row r="138" spans="1:32">
      <c r="A138" s="60" t="s">
        <v>1335</v>
      </c>
      <c r="B138" s="164">
        <v>1</v>
      </c>
      <c r="C138" s="57"/>
      <c r="D138" s="49"/>
      <c r="E138" s="49"/>
      <c r="F138" s="49"/>
      <c r="G138" s="49"/>
      <c r="H138" s="49"/>
      <c r="I138" s="49"/>
      <c r="P138" s="15"/>
      <c r="Q138" s="49"/>
      <c r="AD138" s="1339"/>
      <c r="AE138" s="1339"/>
      <c r="AF138" s="1339"/>
    </row>
    <row r="139" spans="1:32">
      <c r="A139" s="60" t="s">
        <v>1336</v>
      </c>
      <c r="B139" s="164">
        <v>0</v>
      </c>
      <c r="C139" s="57"/>
      <c r="D139" s="49"/>
      <c r="E139" s="49"/>
      <c r="F139" s="49"/>
      <c r="G139" s="49"/>
      <c r="H139" s="49"/>
      <c r="I139" s="49"/>
      <c r="P139" s="15"/>
      <c r="Q139" s="49"/>
      <c r="AD139" s="1339"/>
      <c r="AE139" s="1339"/>
      <c r="AF139" s="1339"/>
    </row>
    <row r="140" spans="1:32">
      <c r="A140" s="887" t="s">
        <v>2887</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15" t="s">
        <v>3046</v>
      </c>
      <c r="C143" s="1416"/>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1679</v>
      </c>
      <c r="Q145" s="15"/>
      <c r="R145" s="15"/>
      <c r="S145" s="15"/>
      <c r="AD145" s="1339"/>
      <c r="AE145" s="1339"/>
      <c r="AF145" s="1339"/>
    </row>
    <row r="146" spans="1:32" ht="13.5" thickBot="1">
      <c r="B146" s="649" t="s">
        <v>1599</v>
      </c>
      <c r="C146" s="619"/>
      <c r="D146" s="636" t="s">
        <v>1214</v>
      </c>
      <c r="E146" s="636" t="s">
        <v>1215</v>
      </c>
      <c r="F146" s="636" t="s">
        <v>1216</v>
      </c>
      <c r="G146" s="637" t="s">
        <v>2140</v>
      </c>
      <c r="H146" s="637" t="s">
        <v>2139</v>
      </c>
      <c r="I146" s="636" t="s">
        <v>768</v>
      </c>
      <c r="J146" s="636" t="s">
        <v>1217</v>
      </c>
      <c r="K146" s="636" t="s">
        <v>2144</v>
      </c>
      <c r="L146" s="638" t="s">
        <v>1582</v>
      </c>
      <c r="M146" s="636" t="s">
        <v>2166</v>
      </c>
      <c r="N146" s="636"/>
      <c r="O146" s="636"/>
      <c r="P146" s="638" t="s">
        <v>771</v>
      </c>
      <c r="Q146" s="639" t="s">
        <v>770</v>
      </c>
      <c r="R146" s="638" t="s">
        <v>1220</v>
      </c>
      <c r="S146" s="638" t="s">
        <v>1728</v>
      </c>
      <c r="T146" s="638" t="s">
        <v>1222</v>
      </c>
      <c r="U146" s="638" t="s">
        <v>1223</v>
      </c>
      <c r="V146" s="640" t="s">
        <v>1224</v>
      </c>
      <c r="AD146" s="1339"/>
      <c r="AE146" s="1339"/>
      <c r="AF146" s="1339"/>
    </row>
    <row r="147" spans="1:32">
      <c r="A147" s="312" t="s">
        <v>14</v>
      </c>
      <c r="B147" s="44" t="s">
        <v>1596</v>
      </c>
      <c r="C147" s="44"/>
      <c r="D147" s="44"/>
      <c r="E147" s="315"/>
      <c r="F147" s="315"/>
      <c r="G147" s="315"/>
      <c r="H147" s="315"/>
      <c r="I147" s="315"/>
      <c r="J147" s="315"/>
      <c r="K147" s="315"/>
      <c r="L147" s="315"/>
      <c r="M147" s="315"/>
      <c r="N147" s="315"/>
      <c r="O147" s="315"/>
      <c r="P147" s="315"/>
      <c r="Q147" s="315"/>
      <c r="R147" s="313" t="s">
        <v>1033</v>
      </c>
      <c r="S147" s="314"/>
      <c r="T147" s="15">
        <v>1</v>
      </c>
      <c r="U147" s="15">
        <v>1</v>
      </c>
      <c r="V147" s="15">
        <v>2</v>
      </c>
      <c r="AD147" s="1339"/>
      <c r="AE147" s="1339"/>
      <c r="AF147" s="1339"/>
    </row>
    <row r="148" spans="1:32">
      <c r="A148" s="312" t="s">
        <v>15</v>
      </c>
      <c r="B148" s="44" t="s">
        <v>1597</v>
      </c>
      <c r="C148" s="44"/>
      <c r="D148" s="44"/>
      <c r="E148" s="315"/>
      <c r="F148" s="315"/>
      <c r="G148" s="315"/>
      <c r="H148" s="315"/>
      <c r="I148" s="315"/>
      <c r="J148" s="315"/>
      <c r="K148" s="315"/>
      <c r="L148" s="315"/>
      <c r="M148" s="315"/>
      <c r="N148" s="315"/>
      <c r="O148" s="315"/>
      <c r="P148" s="315"/>
      <c r="Q148" s="315"/>
      <c r="R148" s="313" t="s">
        <v>1033</v>
      </c>
      <c r="S148" s="314"/>
      <c r="T148" s="15">
        <v>1</v>
      </c>
      <c r="U148" s="15">
        <v>1</v>
      </c>
      <c r="V148" s="15">
        <v>2</v>
      </c>
      <c r="AD148" s="1339"/>
      <c r="AE148" s="1339"/>
      <c r="AF148" s="1339"/>
    </row>
    <row r="149" spans="1:32">
      <c r="A149" s="312" t="s">
        <v>1721</v>
      </c>
      <c r="B149" s="44" t="s">
        <v>1598</v>
      </c>
      <c r="C149" s="44"/>
      <c r="D149" s="44"/>
      <c r="E149" s="315"/>
      <c r="F149" s="315"/>
      <c r="G149" s="315"/>
      <c r="H149" s="315"/>
      <c r="I149" s="315"/>
      <c r="J149" s="315"/>
      <c r="K149" s="315"/>
      <c r="L149" s="315"/>
      <c r="M149" s="315"/>
      <c r="N149" s="315"/>
      <c r="O149" s="315"/>
      <c r="P149" s="315"/>
      <c r="Q149" s="315"/>
      <c r="R149" s="313" t="s">
        <v>1033</v>
      </c>
      <c r="S149" s="314"/>
      <c r="T149" s="15">
        <v>1</v>
      </c>
      <c r="U149" s="15">
        <v>1</v>
      </c>
      <c r="V149" s="15">
        <v>2</v>
      </c>
      <c r="AD149" s="1339"/>
      <c r="AE149" s="1339"/>
      <c r="AF149" s="1339"/>
    </row>
    <row r="150" spans="1:32">
      <c r="A150" s="312" t="s">
        <v>1722</v>
      </c>
      <c r="B150" s="44" t="s">
        <v>1600</v>
      </c>
      <c r="C150" s="44"/>
      <c r="D150" s="44"/>
      <c r="E150" s="315"/>
      <c r="F150" s="315"/>
      <c r="G150" s="315"/>
      <c r="H150" s="315"/>
      <c r="I150" s="315"/>
      <c r="J150" s="315"/>
      <c r="K150" s="315"/>
      <c r="L150" s="315"/>
      <c r="M150" s="315"/>
      <c r="N150" s="315"/>
      <c r="O150" s="315"/>
      <c r="P150" s="315"/>
      <c r="Q150" s="315"/>
      <c r="R150" s="313" t="s">
        <v>1033</v>
      </c>
      <c r="S150" s="314"/>
      <c r="T150" s="15">
        <v>1</v>
      </c>
      <c r="U150" s="15">
        <v>1</v>
      </c>
      <c r="V150" s="15">
        <v>2</v>
      </c>
      <c r="AD150" s="1339"/>
      <c r="AE150" s="1339"/>
      <c r="AF150" s="1339"/>
    </row>
    <row r="151" spans="1:32">
      <c r="A151" s="312" t="s">
        <v>1723</v>
      </c>
      <c r="B151" s="44" t="s">
        <v>1601</v>
      </c>
      <c r="C151" s="44"/>
      <c r="D151" s="44"/>
      <c r="E151" s="315"/>
      <c r="F151" s="315"/>
      <c r="G151" s="315"/>
      <c r="H151" s="315"/>
      <c r="I151" s="315"/>
      <c r="J151" s="315"/>
      <c r="K151" s="315"/>
      <c r="L151" s="315"/>
      <c r="M151" s="315"/>
      <c r="N151" s="315"/>
      <c r="O151" s="315"/>
      <c r="P151" s="315"/>
      <c r="Q151" s="315"/>
      <c r="R151" s="313" t="s">
        <v>1033</v>
      </c>
      <c r="S151" s="314"/>
      <c r="T151" s="15">
        <v>1</v>
      </c>
      <c r="U151" s="15">
        <v>1</v>
      </c>
      <c r="V151" s="15">
        <v>2</v>
      </c>
      <c r="AD151" s="1339"/>
      <c r="AE151" s="1339"/>
      <c r="AF151" s="1339"/>
    </row>
    <row r="152" spans="1:32">
      <c r="A152" s="312" t="s">
        <v>1724</v>
      </c>
      <c r="B152" s="44" t="s">
        <v>1602</v>
      </c>
      <c r="C152" s="44"/>
      <c r="D152" s="44"/>
      <c r="E152" s="315"/>
      <c r="F152" s="315"/>
      <c r="G152" s="315"/>
      <c r="H152" s="315"/>
      <c r="I152" s="315"/>
      <c r="J152" s="315"/>
      <c r="K152" s="315"/>
      <c r="L152" s="315"/>
      <c r="M152" s="315"/>
      <c r="N152" s="315"/>
      <c r="O152" s="315"/>
      <c r="P152" s="315"/>
      <c r="Q152" s="315"/>
      <c r="R152" s="313" t="s">
        <v>1033</v>
      </c>
      <c r="S152" s="314"/>
      <c r="T152" s="15">
        <v>1</v>
      </c>
      <c r="U152" s="15">
        <v>1</v>
      </c>
      <c r="V152" s="15">
        <v>2</v>
      </c>
      <c r="AD152" s="1339"/>
      <c r="AE152" s="1339"/>
      <c r="AF152" s="1339"/>
    </row>
    <row r="153" spans="1:32">
      <c r="A153" s="312" t="s">
        <v>1725</v>
      </c>
      <c r="B153" s="44" t="s">
        <v>1603</v>
      </c>
      <c r="C153" s="44"/>
      <c r="D153" s="44"/>
      <c r="E153" s="315"/>
      <c r="F153" s="315"/>
      <c r="G153" s="315"/>
      <c r="H153" s="315"/>
      <c r="I153" s="315"/>
      <c r="J153" s="315"/>
      <c r="K153" s="315"/>
      <c r="L153" s="315"/>
      <c r="M153" s="315"/>
      <c r="N153" s="315"/>
      <c r="O153" s="315"/>
      <c r="P153" s="315"/>
      <c r="Q153" s="315"/>
      <c r="R153" s="313" t="s">
        <v>1033</v>
      </c>
      <c r="S153" s="314"/>
      <c r="T153" s="15">
        <v>1</v>
      </c>
      <c r="U153" s="15">
        <v>1</v>
      </c>
      <c r="V153" s="15">
        <v>2</v>
      </c>
      <c r="AD153" s="1339"/>
      <c r="AE153" s="1339"/>
      <c r="AF153" s="1339"/>
    </row>
    <row r="154" spans="1:32">
      <c r="A154" s="312" t="s">
        <v>1726</v>
      </c>
      <c r="B154" s="44" t="s">
        <v>1604</v>
      </c>
      <c r="C154" s="44"/>
      <c r="D154" s="44"/>
      <c r="E154" s="315"/>
      <c r="F154" s="315"/>
      <c r="G154" s="315"/>
      <c r="H154" s="315"/>
      <c r="I154" s="315"/>
      <c r="J154" s="315"/>
      <c r="K154" s="315"/>
      <c r="L154" s="315"/>
      <c r="M154" s="315"/>
      <c r="N154" s="315"/>
      <c r="O154" s="315"/>
      <c r="P154" s="315"/>
      <c r="Q154" s="315"/>
      <c r="R154" s="313" t="s">
        <v>1033</v>
      </c>
      <c r="S154" s="314"/>
      <c r="T154" s="15">
        <v>1</v>
      </c>
      <c r="U154" s="15">
        <v>1</v>
      </c>
      <c r="V154" s="15">
        <v>2</v>
      </c>
      <c r="AD154" s="1339"/>
      <c r="AE154" s="1339"/>
      <c r="AF154" s="1339"/>
    </row>
    <row r="155" spans="1:32">
      <c r="A155" s="312" t="s">
        <v>2208</v>
      </c>
      <c r="B155" s="44" t="s">
        <v>1727</v>
      </c>
      <c r="C155" s="44"/>
      <c r="D155" s="44"/>
      <c r="E155" s="315"/>
      <c r="F155" s="315"/>
      <c r="G155" s="315"/>
      <c r="H155" s="315"/>
      <c r="I155" s="315"/>
      <c r="J155" s="315"/>
      <c r="K155" s="315"/>
      <c r="L155" s="315"/>
      <c r="M155" s="315"/>
      <c r="N155" s="315"/>
      <c r="O155" s="315"/>
      <c r="P155" s="315"/>
      <c r="Q155" s="315"/>
      <c r="R155" s="313" t="s">
        <v>1033</v>
      </c>
      <c r="S155" s="314"/>
      <c r="T155" s="20"/>
      <c r="U155" s="20"/>
      <c r="V155" s="20"/>
      <c r="AD155" s="1339"/>
      <c r="AE155" s="1339"/>
      <c r="AF155" s="1339"/>
    </row>
    <row r="156" spans="1:32">
      <c r="A156" s="312" t="s">
        <v>461</v>
      </c>
      <c r="B156" s="44" t="s">
        <v>1727</v>
      </c>
      <c r="C156" s="44"/>
      <c r="D156" s="44"/>
      <c r="E156" s="315"/>
      <c r="F156" s="315"/>
      <c r="G156" s="315"/>
      <c r="H156" s="315"/>
      <c r="I156" s="315"/>
      <c r="J156" s="315"/>
      <c r="K156" s="315"/>
      <c r="L156" s="315"/>
      <c r="M156" s="315"/>
      <c r="N156" s="315"/>
      <c r="O156" s="315"/>
      <c r="P156" s="315"/>
      <c r="Q156" s="315"/>
      <c r="R156" s="313" t="s">
        <v>1048</v>
      </c>
      <c r="S156" s="314"/>
      <c r="T156" s="20"/>
      <c r="U156" s="20"/>
      <c r="V156" s="20"/>
      <c r="AD156" s="1339"/>
      <c r="AE156" s="1339"/>
      <c r="AF156" s="1339"/>
    </row>
    <row r="157" spans="1:32">
      <c r="A157" s="312" t="s">
        <v>437</v>
      </c>
      <c r="B157" s="44" t="s">
        <v>1727</v>
      </c>
      <c r="C157" s="44"/>
      <c r="D157" s="44"/>
      <c r="E157" s="315"/>
      <c r="F157" s="315"/>
      <c r="G157" s="315"/>
      <c r="H157" s="315"/>
      <c r="I157" s="315"/>
      <c r="J157" s="315"/>
      <c r="K157" s="315"/>
      <c r="L157" s="315"/>
      <c r="M157" s="315"/>
      <c r="N157" s="315"/>
      <c r="O157" s="315"/>
      <c r="P157" s="315"/>
      <c r="Q157" s="315"/>
      <c r="R157" s="313" t="s">
        <v>1033</v>
      </c>
      <c r="S157" s="314"/>
      <c r="T157" s="20"/>
      <c r="U157" s="20"/>
      <c r="V157" s="20"/>
      <c r="AD157" s="1339"/>
      <c r="AE157" s="1339"/>
      <c r="AF157" s="1339"/>
    </row>
    <row r="158" spans="1:32">
      <c r="A158" s="312" t="s">
        <v>660</v>
      </c>
      <c r="B158" s="44" t="s">
        <v>1727</v>
      </c>
      <c r="C158" s="44"/>
      <c r="D158" s="44"/>
      <c r="E158" s="315"/>
      <c r="F158" s="315"/>
      <c r="G158" s="315"/>
      <c r="H158" s="315"/>
      <c r="I158" s="315"/>
      <c r="J158" s="315"/>
      <c r="K158" s="315"/>
      <c r="L158" s="315"/>
      <c r="M158" s="315"/>
      <c r="N158" s="315"/>
      <c r="O158" s="315"/>
      <c r="P158" s="315"/>
      <c r="Q158" s="315"/>
      <c r="R158" s="313" t="s">
        <v>1033</v>
      </c>
      <c r="S158" s="314"/>
      <c r="T158" s="20"/>
      <c r="U158" s="20"/>
      <c r="V158" s="20"/>
      <c r="AD158" s="1339"/>
      <c r="AE158" s="1339"/>
      <c r="AF158" s="1339"/>
    </row>
    <row r="159" spans="1:32">
      <c r="A159" s="312" t="s">
        <v>1117</v>
      </c>
      <c r="B159" s="44" t="s">
        <v>1727</v>
      </c>
      <c r="C159" s="44"/>
      <c r="D159" s="44"/>
      <c r="E159" s="315"/>
      <c r="F159" s="315"/>
      <c r="G159" s="315"/>
      <c r="H159" s="315"/>
      <c r="I159" s="315"/>
      <c r="J159" s="315"/>
      <c r="K159" s="315"/>
      <c r="L159" s="315"/>
      <c r="M159" s="315"/>
      <c r="N159" s="315"/>
      <c r="O159" s="315"/>
      <c r="P159" s="315"/>
      <c r="Q159" s="315"/>
      <c r="R159" s="313" t="s">
        <v>1033</v>
      </c>
      <c r="S159" s="314"/>
      <c r="T159" s="20"/>
      <c r="U159" s="20"/>
      <c r="V159" s="20"/>
      <c r="AD159" s="1339"/>
      <c r="AE159" s="1339"/>
      <c r="AF159" s="1339"/>
    </row>
    <row r="160" spans="1:32">
      <c r="A160" s="312" t="s">
        <v>1124</v>
      </c>
      <c r="B160" s="44" t="s">
        <v>1727</v>
      </c>
      <c r="C160" s="44"/>
      <c r="D160" s="44"/>
      <c r="E160" s="315"/>
      <c r="F160" s="315"/>
      <c r="G160" s="315"/>
      <c r="H160" s="315"/>
      <c r="I160" s="315"/>
      <c r="J160" s="315"/>
      <c r="K160" s="315"/>
      <c r="L160" s="315"/>
      <c r="M160" s="315"/>
      <c r="N160" s="315"/>
      <c r="O160" s="315"/>
      <c r="P160" s="315"/>
      <c r="Q160" s="315"/>
      <c r="R160" s="313" t="s">
        <v>1033</v>
      </c>
      <c r="S160" s="314"/>
      <c r="T160" s="20"/>
      <c r="U160" s="20"/>
      <c r="V160" s="20"/>
      <c r="AD160" s="1339"/>
      <c r="AE160" s="1339"/>
      <c r="AF160" s="1339"/>
    </row>
    <row r="161" spans="1:32">
      <c r="A161" s="312" t="s">
        <v>59</v>
      </c>
      <c r="B161" s="44" t="s">
        <v>1727</v>
      </c>
      <c r="C161" s="44"/>
      <c r="D161" s="44"/>
      <c r="E161" s="315"/>
      <c r="F161" s="315"/>
      <c r="G161" s="315"/>
      <c r="H161" s="315"/>
      <c r="I161" s="315"/>
      <c r="J161" s="315"/>
      <c r="K161" s="315"/>
      <c r="L161" s="315"/>
      <c r="M161" s="315"/>
      <c r="N161" s="315"/>
      <c r="O161" s="315"/>
      <c r="P161" s="315"/>
      <c r="Q161" s="315"/>
      <c r="R161" s="313" t="s">
        <v>1033</v>
      </c>
      <c r="S161" s="314"/>
      <c r="T161" s="20"/>
      <c r="U161" s="20"/>
      <c r="V161" s="20"/>
      <c r="AD161" s="1339"/>
      <c r="AE161" s="1339"/>
      <c r="AF161" s="1339"/>
    </row>
    <row r="162" spans="1:32">
      <c r="A162" s="312" t="s">
        <v>2075</v>
      </c>
      <c r="B162" s="44" t="s">
        <v>1727</v>
      </c>
      <c r="C162" s="44"/>
      <c r="D162" s="44"/>
      <c r="E162" s="315"/>
      <c r="F162" s="315"/>
      <c r="G162" s="315"/>
      <c r="H162" s="315"/>
      <c r="I162" s="315"/>
      <c r="J162" s="315"/>
      <c r="K162" s="315"/>
      <c r="L162" s="315"/>
      <c r="M162" s="315"/>
      <c r="N162" s="315"/>
      <c r="O162" s="315"/>
      <c r="P162" s="315"/>
      <c r="Q162" s="315"/>
      <c r="R162" s="313" t="s">
        <v>1033</v>
      </c>
      <c r="S162" s="314"/>
      <c r="T162" s="20"/>
      <c r="U162" s="20"/>
      <c r="V162" s="20"/>
      <c r="AD162" s="1339"/>
      <c r="AE162" s="1339"/>
      <c r="AF162" s="1339"/>
    </row>
    <row r="163" spans="1:32">
      <c r="A163" s="312" t="s">
        <v>2078</v>
      </c>
      <c r="B163" s="44" t="s">
        <v>1727</v>
      </c>
      <c r="C163" s="44"/>
      <c r="D163" s="44"/>
      <c r="E163" s="315"/>
      <c r="F163" s="315"/>
      <c r="G163" s="315"/>
      <c r="H163" s="315"/>
      <c r="I163" s="315"/>
      <c r="J163" s="315"/>
      <c r="K163" s="315"/>
      <c r="L163" s="315"/>
      <c r="M163" s="315"/>
      <c r="N163" s="315"/>
      <c r="O163" s="315"/>
      <c r="P163" s="315"/>
      <c r="Q163" s="315"/>
      <c r="R163" s="313" t="s">
        <v>1033</v>
      </c>
      <c r="S163" s="314"/>
      <c r="T163" s="20"/>
      <c r="U163" s="20"/>
      <c r="V163" s="20"/>
      <c r="AD163" s="1339"/>
      <c r="AE163" s="1339"/>
      <c r="AF163" s="1339"/>
    </row>
    <row r="164" spans="1:32">
      <c r="A164" s="312" t="s">
        <v>2080</v>
      </c>
      <c r="B164" s="44" t="s">
        <v>1727</v>
      </c>
      <c r="C164" s="44"/>
      <c r="D164" s="44"/>
      <c r="E164" s="315"/>
      <c r="F164" s="315"/>
      <c r="G164" s="315"/>
      <c r="H164" s="315"/>
      <c r="I164" s="315"/>
      <c r="J164" s="315"/>
      <c r="K164" s="315"/>
      <c r="L164" s="315"/>
      <c r="M164" s="315"/>
      <c r="N164" s="315"/>
      <c r="O164" s="315"/>
      <c r="P164" s="315"/>
      <c r="Q164" s="315"/>
      <c r="R164" s="313" t="s">
        <v>1033</v>
      </c>
      <c r="S164" s="314"/>
      <c r="T164" s="20"/>
      <c r="U164" s="20"/>
      <c r="V164" s="20"/>
      <c r="AD164" s="1339"/>
      <c r="AE164" s="1339"/>
      <c r="AF164" s="1339"/>
    </row>
    <row r="165" spans="1:32">
      <c r="A165" s="312" t="s">
        <v>1415</v>
      </c>
      <c r="B165" s="44" t="s">
        <v>1727</v>
      </c>
      <c r="C165" s="44"/>
      <c r="D165" s="44"/>
      <c r="E165" s="315"/>
      <c r="F165" s="315"/>
      <c r="G165" s="315"/>
      <c r="H165" s="315"/>
      <c r="I165" s="315"/>
      <c r="J165" s="315"/>
      <c r="K165" s="315"/>
      <c r="L165" s="315"/>
      <c r="M165" s="315"/>
      <c r="N165" s="315"/>
      <c r="O165" s="315"/>
      <c r="P165" s="315"/>
      <c r="Q165" s="315"/>
      <c r="R165" s="313" t="s">
        <v>1033</v>
      </c>
      <c r="S165" s="314"/>
      <c r="T165" s="20"/>
      <c r="U165" s="20"/>
      <c r="V165" s="20"/>
      <c r="AD165" s="1339"/>
      <c r="AE165" s="1339"/>
      <c r="AF165" s="1339"/>
    </row>
    <row r="166" spans="1:32">
      <c r="A166" s="312" t="s">
        <v>670</v>
      </c>
      <c r="B166" s="44" t="s">
        <v>1727</v>
      </c>
      <c r="C166" s="44"/>
      <c r="D166" s="44"/>
      <c r="E166" s="315"/>
      <c r="F166" s="315"/>
      <c r="G166" s="315"/>
      <c r="H166" s="315"/>
      <c r="I166" s="315"/>
      <c r="J166" s="315"/>
      <c r="K166" s="315"/>
      <c r="L166" s="315"/>
      <c r="M166" s="315"/>
      <c r="N166" s="315"/>
      <c r="O166" s="315"/>
      <c r="P166" s="315"/>
      <c r="Q166" s="315"/>
      <c r="R166" s="313" t="s">
        <v>1033</v>
      </c>
      <c r="S166" s="314"/>
      <c r="T166" s="20"/>
      <c r="U166" s="20"/>
      <c r="V166" s="20"/>
      <c r="AD166" s="1339"/>
      <c r="AE166" s="1339"/>
      <c r="AF166" s="1339"/>
    </row>
    <row r="167" spans="1:32">
      <c r="A167" s="312" t="s">
        <v>670</v>
      </c>
      <c r="B167" s="44" t="s">
        <v>107</v>
      </c>
      <c r="C167" s="44"/>
      <c r="D167" s="44"/>
      <c r="E167" s="315"/>
      <c r="F167" s="315"/>
      <c r="G167" s="315"/>
      <c r="H167" s="315"/>
      <c r="I167" s="315"/>
      <c r="J167" s="315"/>
      <c r="K167" s="315"/>
      <c r="L167" s="315"/>
      <c r="M167" s="315"/>
      <c r="N167" s="315"/>
      <c r="O167" s="315"/>
      <c r="P167" s="315"/>
      <c r="Q167" s="315"/>
      <c r="R167" s="313" t="s">
        <v>1033</v>
      </c>
      <c r="S167" s="314"/>
      <c r="T167" s="20"/>
      <c r="U167" s="20"/>
      <c r="V167" s="20"/>
      <c r="AD167" s="1339"/>
      <c r="AE167" s="1339"/>
      <c r="AF167" s="1339"/>
    </row>
    <row r="168" spans="1:32">
      <c r="A168" s="312" t="s">
        <v>671</v>
      </c>
      <c r="B168" s="44" t="s">
        <v>1727</v>
      </c>
      <c r="C168" s="44"/>
      <c r="D168" s="44"/>
      <c r="E168" s="315"/>
      <c r="F168" s="315"/>
      <c r="G168" s="315"/>
      <c r="H168" s="315"/>
      <c r="I168" s="315"/>
      <c r="J168" s="315"/>
      <c r="K168" s="315"/>
      <c r="L168" s="315"/>
      <c r="M168" s="315"/>
      <c r="N168" s="315"/>
      <c r="O168" s="315"/>
      <c r="P168" s="315"/>
      <c r="Q168" s="315"/>
      <c r="R168" s="313" t="s">
        <v>1033</v>
      </c>
      <c r="S168" s="314"/>
      <c r="T168" s="20"/>
      <c r="U168" s="20"/>
      <c r="V168" s="20"/>
      <c r="AD168" s="1339"/>
      <c r="AE168" s="1339"/>
      <c r="AF168" s="1339"/>
    </row>
    <row r="169" spans="1:32">
      <c r="A169" s="312" t="s">
        <v>671</v>
      </c>
      <c r="B169" s="44" t="s">
        <v>107</v>
      </c>
      <c r="C169" s="44"/>
      <c r="D169" s="44"/>
      <c r="E169" s="315"/>
      <c r="F169" s="315"/>
      <c r="G169" s="315"/>
      <c r="H169" s="315"/>
      <c r="I169" s="315"/>
      <c r="J169" s="315"/>
      <c r="K169" s="315"/>
      <c r="L169" s="315"/>
      <c r="M169" s="315"/>
      <c r="N169" s="315"/>
      <c r="O169" s="315"/>
      <c r="P169" s="315"/>
      <c r="Q169" s="315"/>
      <c r="R169" s="313" t="s">
        <v>1033</v>
      </c>
      <c r="S169" s="314"/>
      <c r="T169" s="20"/>
      <c r="U169" s="20"/>
      <c r="V169" s="20"/>
      <c r="AD169" s="1339"/>
      <c r="AE169" s="1339"/>
      <c r="AF169" s="1339"/>
    </row>
    <row r="170" spans="1:32">
      <c r="AD170" s="1339"/>
      <c r="AE170" s="1339"/>
      <c r="AF170" s="1339"/>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2" priority="471" stopIfTrue="1">
      <formula>$X23</formula>
    </cfRule>
  </conditionalFormatting>
  <conditionalFormatting sqref="C8">
    <cfRule type="cellIs" dxfId="81" priority="18" stopIfTrue="1" operator="greaterThan">
      <formula>0</formula>
    </cfRule>
    <cfRule type="cellIs" dxfId="80" priority="19" stopIfTrue="1" operator="equal">
      <formula>0</formula>
    </cfRule>
    <cfRule type="cellIs" dxfId="79"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78" priority="488" stopIfTrue="1">
      <formula>$C13</formula>
    </cfRule>
  </conditionalFormatting>
  <conditionalFormatting sqref="U29:X29">
    <cfRule type="expression" dxfId="77" priority="489" stopIfTrue="1">
      <formula>$X29</formula>
    </cfRule>
  </conditionalFormatting>
  <conditionalFormatting sqref="A86">
    <cfRule type="expression" dxfId="76" priority="12" stopIfTrue="1">
      <formula>AND($B$77=1, OR(PlayerRace="Undead", PlayerRace="Orc", PlayerRace="Troll"))</formula>
    </cfRule>
  </conditionalFormatting>
  <conditionalFormatting sqref="A104">
    <cfRule type="expression" dxfId="75" priority="11" stopIfTrue="1">
      <formula>AND($B$77=1, OR(PlayerRace="Undead", PlayerRace="Orc", PlayerRace="Troll"))</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1025</v>
      </c>
      <c r="B1" s="1532" t="str">
        <f>cycle</f>
        <v>Cycle: 1s/5r   SnD Slack: 1.31</v>
      </c>
      <c r="C1" s="1532"/>
      <c r="D1" s="1533"/>
      <c r="E1" s="1528" t="s">
        <v>591</v>
      </c>
      <c r="F1" s="1529"/>
      <c r="G1" s="1530" t="s">
        <v>592</v>
      </c>
      <c r="H1" s="1531"/>
      <c r="I1" s="1540" t="s">
        <v>593</v>
      </c>
      <c r="J1" s="1541"/>
      <c r="K1" s="1542"/>
      <c r="L1" s="1529"/>
      <c r="M1" s="1491" t="s">
        <v>2325</v>
      </c>
      <c r="N1" s="1492"/>
      <c r="O1" s="1492"/>
      <c r="P1" s="1492"/>
      <c r="Q1" s="1493"/>
    </row>
    <row r="2" spans="1:26" ht="12.75" customHeight="1" thickBot="1">
      <c r="A2" s="1520"/>
      <c r="B2" s="1534"/>
      <c r="C2" s="1534"/>
      <c r="D2" s="1535"/>
      <c r="E2" s="1075" t="s">
        <v>594</v>
      </c>
      <c r="F2" s="1015">
        <f>ap</f>
        <v>3151.8007204290034</v>
      </c>
      <c r="G2" s="906" t="s">
        <v>599</v>
      </c>
      <c r="H2" s="1015">
        <f>hp</f>
        <v>9674</v>
      </c>
      <c r="I2" s="1543"/>
      <c r="J2" s="1544"/>
      <c r="K2" s="1545"/>
      <c r="L2" s="907"/>
      <c r="M2" s="1500" t="s">
        <v>2320</v>
      </c>
      <c r="N2" s="1501"/>
      <c r="O2" s="1023" t="str">
        <f>ROUND(SUM('Damage Calc'!$J$2:$J$7),2)&amp;"  "</f>
        <v xml:space="preserve">999.76  </v>
      </c>
      <c r="P2" s="1494" t="str">
        <f>ROUND(SUM('Damage Calc'!$J$2:$J$7)/'Damage Calc'!$J$16*100,0)&amp;"%  "</f>
        <v xml:space="preserve">65%  </v>
      </c>
      <c r="Q2" s="1495"/>
    </row>
    <row r="3" spans="1:26" ht="12.75" customHeight="1">
      <c r="A3" s="1524" t="s">
        <v>1538</v>
      </c>
      <c r="B3" s="1536">
        <f>'Damage Calc'!$J$16</f>
        <v>1548.8183523690223</v>
      </c>
      <c r="C3" s="1536"/>
      <c r="D3" s="1537"/>
      <c r="E3" s="1011" t="s">
        <v>595</v>
      </c>
      <c r="F3" s="1012">
        <f>'Damage Calc'!Q2-Talents!F4</f>
        <v>0.26956097560975611</v>
      </c>
      <c r="G3" s="1011" t="s">
        <v>600</v>
      </c>
      <c r="H3" s="1012">
        <f>dodge</f>
        <v>0.37577520323377933</v>
      </c>
      <c r="I3" s="1546" t="s">
        <v>2316</v>
      </c>
      <c r="J3" s="1457"/>
      <c r="K3" s="1458"/>
      <c r="L3" s="1016">
        <f>CEILING(($F$4*100)*(10*conv),1)</f>
        <v>1</v>
      </c>
      <c r="M3" s="1513" t="str">
        <f>"  "&amp;instatklng&amp;" DPS"</f>
        <v xml:space="preserve">  Sinister Strike DPS</v>
      </c>
      <c r="N3" s="1514"/>
      <c r="O3" s="1080" t="str">
        <f>ROUND('Damage Calc'!$J$8,2)&amp;"  "</f>
        <v xml:space="preserve">322.54  </v>
      </c>
      <c r="P3" s="1496" t="str">
        <f>ROUND('Damage Calc'!$J$8/'Damage Calc'!$J$16*100,0)&amp;"%  "</f>
        <v xml:space="preserve">21%  </v>
      </c>
      <c r="Q3" s="1497"/>
    </row>
    <row r="4" spans="1:26" ht="12.75" customHeight="1" thickBot="1">
      <c r="A4" s="1525"/>
      <c r="B4" s="1538"/>
      <c r="C4" s="1538"/>
      <c r="D4" s="1539"/>
      <c r="E4" s="1077" t="s">
        <v>596</v>
      </c>
      <c r="F4" s="1017">
        <f>bMHmiss</f>
        <v>4.3902439024390283E-4</v>
      </c>
      <c r="G4" s="1018" t="s">
        <v>601</v>
      </c>
      <c r="H4" s="1019">
        <f>'Gear &amp; Buffs'!$J$143</f>
        <v>0</v>
      </c>
      <c r="I4" s="1547" t="s">
        <v>2317</v>
      </c>
      <c r="J4" s="1522"/>
      <c r="K4" s="1523"/>
      <c r="L4" s="1076">
        <f>'Damage Calc'!D34</f>
        <v>30</v>
      </c>
      <c r="M4" s="1515" t="s">
        <v>2321</v>
      </c>
      <c r="N4" s="1516"/>
      <c r="O4" s="1024" t="str">
        <f>ROUND('Damage Calc'!$J$10+'Damage Calc'!$J$11+'Damage Calc'!$J$12,2)&amp;"  "</f>
        <v xml:space="preserve">119.41  </v>
      </c>
      <c r="P4" s="1498" t="str">
        <f>ROUND(('Damage Calc'!$J$10+'Damage Calc'!$J$11+'Damage Calc'!$J$12)/'Damage Calc'!$J$16*100,0)&amp;"%  "</f>
        <v xml:space="preserve">8%  </v>
      </c>
      <c r="Q4" s="1499"/>
    </row>
    <row r="5" spans="1:26" ht="12.75" customHeight="1" thickBot="1">
      <c r="A5" s="1008" t="s">
        <v>1137</v>
      </c>
      <c r="B5" s="1526">
        <f>'Gear &amp; Buffs'!$C$7</f>
        <v>1548.8183523690223</v>
      </c>
      <c r="C5" s="1526"/>
      <c r="D5" s="1527"/>
      <c r="E5" s="1011" t="s">
        <v>597</v>
      </c>
      <c r="F5" s="1012">
        <f>bMHcrit</f>
        <v>0.21803272356810921</v>
      </c>
      <c r="G5" s="1081" t="s">
        <v>1321</v>
      </c>
      <c r="H5" s="1012">
        <f>('Gear &amp; Buffs'!J143/(25*conv)+Talents!I17)/100</f>
        <v>0</v>
      </c>
      <c r="I5" s="1456"/>
      <c r="J5" s="1457"/>
      <c r="K5" s="1458"/>
      <c r="L5" s="1020"/>
      <c r="M5" s="1517" t="s">
        <v>2322</v>
      </c>
      <c r="N5" s="1518"/>
      <c r="O5" s="1082" t="str">
        <f>ROUND('Damage Calc'!$J$13+'Damage Calc'!$J$14+'Damage Calc'!$J$15+'Damage Calc'!$J$9,2)&amp;"  "</f>
        <v xml:space="preserve">107.1  </v>
      </c>
      <c r="P5" s="1450" t="str">
        <f>ROUND(('Damage Calc'!$J$13+'Damage Calc'!$J$14+'Damage Calc'!$J$15+'Damage Calc'!$J$9)/'Damage Calc'!$J$16*100,0)&amp;"%  "</f>
        <v xml:space="preserve">7%  </v>
      </c>
      <c r="Q5" s="1451"/>
    </row>
    <row r="6" spans="1:26" ht="12.75" customHeight="1" thickBot="1">
      <c r="A6" s="1155" t="s">
        <v>590</v>
      </c>
      <c r="B6" s="1156" t="str">
        <f>IF(($B$3-$B$5)&lt;0,ROUND($B$3-$B$5,2),"+"&amp;ROUND($B$3-$B$5,2))</f>
        <v>+0</v>
      </c>
      <c r="C6" s="1157"/>
      <c r="D6" s="1158" t="str">
        <f>IF(($B$6/$B$3)&lt;0,ROUND($B$6/$B$3*100,2)&amp;"%","+"&amp;ROUND($B$6/$B$3*100,2)&amp;"%")</f>
        <v>+0%</v>
      </c>
      <c r="E6" s="931" t="s">
        <v>635</v>
      </c>
      <c r="F6" s="1017">
        <f>bMHdod</f>
        <v>2.0000000000000004E-2</v>
      </c>
      <c r="G6" s="1021" t="s">
        <v>602</v>
      </c>
      <c r="H6" s="1017">
        <f>5%-((BossLevel-CharLevel)*0.2%)+(F18/100)+(ROUNDDOWN('Gear &amp; Buffs'!M143/defrating_def,0)*0.04/100)</f>
        <v>4.4000000000000004E-2</v>
      </c>
      <c r="I6" s="1521" t="s">
        <v>2318</v>
      </c>
      <c r="J6" s="1522"/>
      <c r="K6" s="1523"/>
      <c r="L6" s="1017">
        <f>sndup</f>
        <v>0.9966666666666667</v>
      </c>
      <c r="M6" s="1454" t="s">
        <v>2323</v>
      </c>
      <c r="N6" s="1455"/>
      <c r="O6" s="1009" t="str">
        <f>ROUND('Damage Calc'!$J$16,2)&amp;"  "</f>
        <v xml:space="preserve">1548.82  </v>
      </c>
      <c r="P6" s="1452" t="str">
        <f>"100%  "</f>
        <v xml:space="preserve">100%  </v>
      </c>
      <c r="Q6" s="1453"/>
    </row>
    <row r="7" spans="1:26" ht="12.75" customHeight="1">
      <c r="A7" s="1503"/>
      <c r="B7" s="1504"/>
      <c r="C7" s="1504"/>
      <c r="D7" s="1505"/>
      <c r="E7" s="1011" t="s">
        <v>634</v>
      </c>
      <c r="F7" s="1012">
        <f>bMHpar</f>
        <v>0</v>
      </c>
      <c r="G7" s="1081" t="s">
        <v>2168</v>
      </c>
      <c r="H7" s="1012">
        <f>MAX(5%+0.2%*(CharLevel-BossLevel)+(ROUNDDOWN('Gear &amp; Buffs'!M143/defrating_def,0)*0.04/100),0%)</f>
        <v>4.4000000000000004E-2</v>
      </c>
      <c r="I7" s="1456" t="s">
        <v>2319</v>
      </c>
      <c r="J7" s="1457"/>
      <c r="K7" s="1458"/>
      <c r="L7" s="1022">
        <f>ruptup</f>
        <v>0.98</v>
      </c>
      <c r="M7" s="1509" t="s">
        <v>2324</v>
      </c>
      <c r="N7" s="1510"/>
      <c r="O7" s="1010" t="str">
        <f>ROUND('Gear &amp; Buffs'!$C$7,2)&amp;"  "</f>
        <v xml:space="preserve">1548.82  </v>
      </c>
      <c r="P7" s="1461"/>
      <c r="Q7" s="1462"/>
    </row>
    <row r="8" spans="1:26" ht="12.75" customHeight="1" thickBot="1">
      <c r="A8" s="1506"/>
      <c r="B8" s="1507"/>
      <c r="C8" s="1507"/>
      <c r="D8" s="1508"/>
      <c r="E8" s="1013" t="s">
        <v>598</v>
      </c>
      <c r="F8" s="1078">
        <f>'Damage Calc'!$Q$42</f>
        <v>4010</v>
      </c>
      <c r="G8" s="1013" t="s">
        <v>2167</v>
      </c>
      <c r="H8" s="1014">
        <f>H3+H6+H7</f>
        <v>0.4637752032337793</v>
      </c>
      <c r="I8" s="1476" t="s">
        <v>1178</v>
      </c>
      <c r="J8" s="1477"/>
      <c r="K8" s="1478"/>
      <c r="L8" s="1079">
        <f>B3*0.71</f>
        <v>1099.6610301820058</v>
      </c>
      <c r="M8" s="1511" t="s">
        <v>2266</v>
      </c>
      <c r="N8" s="1512"/>
      <c r="O8" s="1025" t="str">
        <f>ROUND($O$6-'Gear &amp; Buffs'!$C$7,2)&amp;"  "</f>
        <v xml:space="preserve">0  </v>
      </c>
      <c r="P8" s="1459" t="str">
        <f>IF(($B$6/$B$3)&lt;0,ROUND($B$6/$B$3*100,2)&amp;"%  ","+"&amp;ROUND($B$6/$B$3*100,2)&amp;"%  ")</f>
        <v xml:space="preserve">+0%  </v>
      </c>
      <c r="Q8" s="1460"/>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66" t="s">
        <v>182</v>
      </c>
      <c r="E11" s="1466">
        <v>1</v>
      </c>
      <c r="F11" s="1466"/>
      <c r="G11" s="990"/>
      <c r="H11" s="990"/>
      <c r="I11" s="991"/>
      <c r="J11"/>
      <c r="K11" s="1003"/>
      <c r="L11" s="995"/>
      <c r="M11" s="995"/>
      <c r="N11" s="995"/>
      <c r="O11" s="1004"/>
      <c r="S11"/>
      <c r="T11"/>
      <c r="U11"/>
      <c r="V11"/>
      <c r="W11"/>
      <c r="X11"/>
      <c r="Y11"/>
      <c r="Z11"/>
    </row>
    <row r="12" spans="1:26" ht="21.75" customHeight="1" thickBot="1">
      <c r="A12" s="1502" t="s">
        <v>2146</v>
      </c>
      <c r="B12" s="1464"/>
      <c r="C12" s="1464"/>
      <c r="D12" s="1463" t="s">
        <v>2147</v>
      </c>
      <c r="E12" s="1464"/>
      <c r="F12" s="1464"/>
      <c r="G12" s="1463" t="s">
        <v>248</v>
      </c>
      <c r="H12" s="1464"/>
      <c r="I12" s="1465"/>
      <c r="K12" s="1006" t="s">
        <v>861</v>
      </c>
      <c r="L12" s="1007"/>
      <c r="M12" s="1007"/>
      <c r="N12" s="1007"/>
      <c r="O12" s="1002"/>
    </row>
    <row r="13" spans="1:26" ht="12.75" customHeight="1" thickBot="1">
      <c r="A13" s="1099" t="s">
        <v>2148</v>
      </c>
      <c r="B13" s="992"/>
      <c r="C13" s="1100" t="s">
        <v>2149</v>
      </c>
      <c r="D13" s="1103" t="s">
        <v>2148</v>
      </c>
      <c r="E13" s="993"/>
      <c r="F13" s="1104" t="s">
        <v>2149</v>
      </c>
      <c r="G13" s="1101" t="s">
        <v>2148</v>
      </c>
      <c r="H13" s="1101"/>
      <c r="I13" s="1102" t="s">
        <v>2149</v>
      </c>
      <c r="K13" s="1473" t="s">
        <v>881</v>
      </c>
      <c r="L13" s="1474"/>
      <c r="M13" s="1474"/>
      <c r="N13" s="1474">
        <v>1</v>
      </c>
      <c r="O13" s="1475"/>
      <c r="Q13" s="1467" t="s">
        <v>882</v>
      </c>
      <c r="R13" s="1468"/>
      <c r="S13" s="1468"/>
      <c r="T13" s="1468"/>
      <c r="U13" s="1468"/>
      <c r="V13" s="1469"/>
    </row>
    <row r="14" spans="1:26" ht="12.75" customHeight="1">
      <c r="A14" s="946" t="s">
        <v>134</v>
      </c>
      <c r="B14" s="947"/>
      <c r="C14" s="948">
        <v>0</v>
      </c>
      <c r="D14" s="949" t="s">
        <v>1511</v>
      </c>
      <c r="E14" s="950"/>
      <c r="F14" s="951">
        <v>3</v>
      </c>
      <c r="G14" s="952" t="s">
        <v>1513</v>
      </c>
      <c r="H14" s="953"/>
      <c r="I14" s="954">
        <v>0</v>
      </c>
      <c r="K14" s="1376" t="s">
        <v>2864</v>
      </c>
      <c r="L14" s="1055"/>
      <c r="M14" s="1055"/>
      <c r="N14" s="1377"/>
      <c r="O14" s="1066">
        <v>70</v>
      </c>
      <c r="Q14" s="1040">
        <v>8800</v>
      </c>
      <c r="R14" s="1041" t="s">
        <v>499</v>
      </c>
      <c r="S14" s="1042"/>
      <c r="T14" s="1042"/>
      <c r="U14" s="1042"/>
      <c r="V14" s="1043"/>
    </row>
    <row r="15" spans="1:26" ht="12.75" customHeight="1">
      <c r="A15" s="955" t="s">
        <v>1512</v>
      </c>
      <c r="B15" s="956"/>
      <c r="C15" s="957">
        <v>0</v>
      </c>
      <c r="D15" s="958" t="s">
        <v>2150</v>
      </c>
      <c r="E15" s="959"/>
      <c r="F15" s="960">
        <v>2</v>
      </c>
      <c r="G15" s="958" t="s">
        <v>2154</v>
      </c>
      <c r="H15" s="959"/>
      <c r="I15" s="961">
        <v>0</v>
      </c>
      <c r="K15" s="1376" t="s">
        <v>834</v>
      </c>
      <c r="L15" s="1055"/>
      <c r="M15" s="1055"/>
      <c r="N15" s="1377"/>
      <c r="O15" s="1066">
        <v>73</v>
      </c>
      <c r="Q15" s="927">
        <v>7685</v>
      </c>
      <c r="R15" s="928" t="s">
        <v>699</v>
      </c>
      <c r="S15" s="929"/>
      <c r="T15" s="929"/>
      <c r="U15" s="929"/>
      <c r="V15" s="930"/>
    </row>
    <row r="16" spans="1:26" ht="12.75" customHeight="1">
      <c r="A16" s="964" t="s">
        <v>135</v>
      </c>
      <c r="B16" s="962"/>
      <c r="C16" s="963">
        <v>5</v>
      </c>
      <c r="D16" s="964" t="s">
        <v>2152</v>
      </c>
      <c r="E16" s="962"/>
      <c r="F16" s="961">
        <v>0</v>
      </c>
      <c r="G16" s="965"/>
      <c r="H16" s="966"/>
      <c r="I16" s="967"/>
      <c r="K16" s="1378" t="s">
        <v>1297</v>
      </c>
      <c r="L16" s="1055"/>
      <c r="M16" s="1055"/>
      <c r="N16" s="1377"/>
      <c r="O16" s="1067" t="s">
        <v>1734</v>
      </c>
      <c r="Q16" s="927"/>
      <c r="R16" s="928" t="s">
        <v>3077</v>
      </c>
      <c r="S16" s="929"/>
      <c r="T16" s="929"/>
      <c r="U16" s="929"/>
      <c r="V16" s="930"/>
    </row>
    <row r="17" spans="1:22" ht="12.75" customHeight="1">
      <c r="A17" s="908" t="s">
        <v>2156</v>
      </c>
      <c r="B17" s="909"/>
      <c r="C17" s="910">
        <v>3</v>
      </c>
      <c r="D17" s="931" t="s">
        <v>2221</v>
      </c>
      <c r="E17" s="932"/>
      <c r="F17" s="913">
        <v>3</v>
      </c>
      <c r="G17" s="914" t="s">
        <v>1514</v>
      </c>
      <c r="H17" s="915"/>
      <c r="I17" s="916">
        <v>0</v>
      </c>
      <c r="K17" s="1376" t="s">
        <v>1212</v>
      </c>
      <c r="L17" s="1055"/>
      <c r="M17" s="1055"/>
      <c r="N17" s="1377"/>
      <c r="O17" s="1068" t="s">
        <v>144</v>
      </c>
      <c r="Q17" s="927" t="s">
        <v>883</v>
      </c>
      <c r="R17" s="928" t="s">
        <v>700</v>
      </c>
      <c r="S17" s="929"/>
      <c r="T17" s="929"/>
      <c r="U17" s="929"/>
      <c r="V17" s="930"/>
    </row>
    <row r="18" spans="1:22" ht="12.75" customHeight="1">
      <c r="A18" s="908" t="s">
        <v>411</v>
      </c>
      <c r="B18" s="909"/>
      <c r="C18" s="910">
        <v>2</v>
      </c>
      <c r="D18" s="911" t="s">
        <v>1515</v>
      </c>
      <c r="E18" s="912"/>
      <c r="F18" s="913">
        <v>0</v>
      </c>
      <c r="G18" s="914" t="s">
        <v>1516</v>
      </c>
      <c r="H18" s="915"/>
      <c r="I18" s="916">
        <v>0</v>
      </c>
      <c r="K18" s="1058" t="s">
        <v>2042</v>
      </c>
      <c r="L18" s="1055"/>
      <c r="M18" s="1055"/>
      <c r="N18" s="1377"/>
      <c r="O18" s="1068" t="s">
        <v>144</v>
      </c>
      <c r="Q18" s="927"/>
      <c r="R18" s="928" t="s">
        <v>3078</v>
      </c>
      <c r="S18" s="929"/>
      <c r="T18" s="929"/>
      <c r="U18" s="929"/>
      <c r="V18" s="930"/>
    </row>
    <row r="19" spans="1:22" ht="12.75" customHeight="1">
      <c r="A19" s="908" t="s">
        <v>629</v>
      </c>
      <c r="B19" s="909"/>
      <c r="C19" s="910">
        <v>0</v>
      </c>
      <c r="D19" s="908" t="s">
        <v>2222</v>
      </c>
      <c r="E19" s="912"/>
      <c r="F19" s="933">
        <v>5</v>
      </c>
      <c r="G19" s="914" t="s">
        <v>1517</v>
      </c>
      <c r="H19" s="915"/>
      <c r="I19" s="916">
        <v>0</v>
      </c>
      <c r="K19" s="1052" t="s">
        <v>3003</v>
      </c>
      <c r="L19" s="1053"/>
      <c r="M19" s="1053"/>
      <c r="N19" s="1054"/>
      <c r="O19" s="1068" t="s">
        <v>751</v>
      </c>
      <c r="Q19" s="927"/>
      <c r="R19" s="928" t="s">
        <v>3079</v>
      </c>
      <c r="S19" s="929"/>
      <c r="T19" s="929"/>
      <c r="U19" s="929"/>
      <c r="V19" s="930"/>
    </row>
    <row r="20" spans="1:22" ht="12.75" customHeight="1">
      <c r="A20" s="958" t="s">
        <v>163</v>
      </c>
      <c r="B20" s="959"/>
      <c r="C20" s="968">
        <v>1</v>
      </c>
      <c r="D20" s="969" t="s">
        <v>1518</v>
      </c>
      <c r="E20" s="970"/>
      <c r="F20" s="971">
        <v>0</v>
      </c>
      <c r="G20" s="972" t="s">
        <v>1519</v>
      </c>
      <c r="H20" s="970"/>
      <c r="I20" s="973">
        <v>0</v>
      </c>
      <c r="K20" s="1058" t="s">
        <v>1296</v>
      </c>
      <c r="L20" s="1055"/>
      <c r="M20" s="1055"/>
      <c r="N20" s="1377"/>
      <c r="O20" s="1067">
        <v>7685</v>
      </c>
      <c r="Q20" s="927"/>
      <c r="R20" s="928" t="s">
        <v>3076</v>
      </c>
      <c r="S20" s="929"/>
      <c r="T20" s="929"/>
      <c r="U20" s="929"/>
      <c r="V20" s="930"/>
    </row>
    <row r="21" spans="1:22" ht="12.75" customHeight="1" thickBot="1">
      <c r="A21" s="981" t="s">
        <v>1520</v>
      </c>
      <c r="B21" s="982"/>
      <c r="C21" s="976">
        <v>0</v>
      </c>
      <c r="D21" s="969" t="s">
        <v>1521</v>
      </c>
      <c r="E21" s="970"/>
      <c r="F21" s="971">
        <v>0</v>
      </c>
      <c r="G21" s="974" t="s">
        <v>1185</v>
      </c>
      <c r="H21" s="970"/>
      <c r="I21" s="960">
        <v>0</v>
      </c>
      <c r="K21" s="1058" t="s">
        <v>63</v>
      </c>
      <c r="L21" s="1055"/>
      <c r="M21" s="1055"/>
      <c r="N21" s="1377"/>
      <c r="O21" s="1068" t="s">
        <v>669</v>
      </c>
      <c r="Q21" s="1044">
        <v>6800</v>
      </c>
      <c r="R21" s="1045" t="s">
        <v>1400</v>
      </c>
      <c r="S21" s="1046"/>
      <c r="T21" s="1046"/>
      <c r="U21" s="1046"/>
      <c r="V21" s="1047"/>
    </row>
    <row r="22" spans="1:22" ht="12.75" customHeight="1" thickBot="1">
      <c r="A22" s="964" t="s">
        <v>2227</v>
      </c>
      <c r="B22" s="975"/>
      <c r="C22" s="976">
        <v>5</v>
      </c>
      <c r="D22" s="969" t="s">
        <v>1607</v>
      </c>
      <c r="E22" s="970"/>
      <c r="F22" s="971">
        <v>2</v>
      </c>
      <c r="G22" s="972" t="s">
        <v>1608</v>
      </c>
      <c r="H22" s="970"/>
      <c r="I22" s="973">
        <v>0</v>
      </c>
      <c r="K22" s="1470" t="s">
        <v>308</v>
      </c>
      <c r="L22" s="1471"/>
      <c r="M22" s="1471"/>
      <c r="N22" s="1471"/>
      <c r="O22" s="1472"/>
      <c r="Q22" s="927">
        <v>6200</v>
      </c>
      <c r="R22" s="928" t="s">
        <v>1145</v>
      </c>
      <c r="S22" s="929"/>
      <c r="T22" s="929"/>
      <c r="U22" s="929"/>
      <c r="V22" s="930"/>
    </row>
    <row r="23" spans="1:22" ht="12.75" customHeight="1">
      <c r="A23" s="917" t="s">
        <v>633</v>
      </c>
      <c r="B23" s="918"/>
      <c r="C23" s="919">
        <v>3</v>
      </c>
      <c r="D23" s="914" t="s">
        <v>413</v>
      </c>
      <c r="E23" s="912"/>
      <c r="F23" s="916">
        <v>0</v>
      </c>
      <c r="G23" s="914" t="s">
        <v>1609</v>
      </c>
      <c r="H23" s="934"/>
      <c r="I23" s="916">
        <v>0</v>
      </c>
      <c r="K23" s="1058" t="s">
        <v>1009</v>
      </c>
      <c r="L23" s="1055"/>
      <c r="M23" s="1055"/>
      <c r="N23" s="1059"/>
      <c r="O23" s="1069" t="s">
        <v>1011</v>
      </c>
      <c r="Q23" s="927"/>
      <c r="R23" s="928" t="s">
        <v>3080</v>
      </c>
      <c r="S23" s="929"/>
      <c r="T23" s="929"/>
      <c r="U23" s="929"/>
      <c r="V23" s="930"/>
    </row>
    <row r="24" spans="1:22" ht="12.75" customHeight="1">
      <c r="A24" s="917" t="s">
        <v>412</v>
      </c>
      <c r="B24" s="918"/>
      <c r="C24" s="919">
        <v>0</v>
      </c>
      <c r="D24" s="920" t="s">
        <v>414</v>
      </c>
      <c r="E24" s="921"/>
      <c r="F24" s="922">
        <v>0</v>
      </c>
      <c r="G24" s="923" t="s">
        <v>1610</v>
      </c>
      <c r="H24" s="924"/>
      <c r="I24" s="925">
        <v>0</v>
      </c>
      <c r="K24" s="1058" t="s">
        <v>1010</v>
      </c>
      <c r="L24" s="1055"/>
      <c r="M24" s="1055"/>
      <c r="N24" s="1060" t="b">
        <v>0</v>
      </c>
      <c r="O24" s="1070">
        <v>0.3</v>
      </c>
      <c r="Q24" s="927"/>
      <c r="R24" s="928" t="s">
        <v>3081</v>
      </c>
      <c r="S24" s="929"/>
      <c r="T24" s="929"/>
      <c r="U24" s="929"/>
      <c r="V24" s="930"/>
    </row>
    <row r="25" spans="1:22" ht="12.75" customHeight="1">
      <c r="A25" s="935"/>
      <c r="B25" s="934"/>
      <c r="C25" s="934"/>
      <c r="D25" s="920" t="s">
        <v>415</v>
      </c>
      <c r="E25" s="921"/>
      <c r="F25" s="922">
        <v>5</v>
      </c>
      <c r="G25" s="917" t="s">
        <v>2151</v>
      </c>
      <c r="H25" s="918"/>
      <c r="I25" s="926">
        <v>0</v>
      </c>
      <c r="K25" s="1058" t="s">
        <v>749</v>
      </c>
      <c r="L25" s="1055"/>
      <c r="M25" s="1055"/>
      <c r="N25" s="1059"/>
      <c r="O25" s="1071" t="s">
        <v>144</v>
      </c>
      <c r="Q25" s="940"/>
      <c r="R25" s="941" t="s">
        <v>3082</v>
      </c>
      <c r="S25" s="942"/>
      <c r="T25" s="942"/>
      <c r="U25" s="942"/>
      <c r="V25" s="943"/>
    </row>
    <row r="26" spans="1:22" ht="12.75" customHeight="1">
      <c r="A26" s="955" t="s">
        <v>1611</v>
      </c>
      <c r="B26" s="966"/>
      <c r="C26" s="957">
        <v>0</v>
      </c>
      <c r="D26" s="964" t="s">
        <v>416</v>
      </c>
      <c r="E26" s="962"/>
      <c r="F26" s="960">
        <v>0</v>
      </c>
      <c r="G26" s="955" t="s">
        <v>1612</v>
      </c>
      <c r="H26" s="966"/>
      <c r="I26" s="977">
        <v>0</v>
      </c>
      <c r="K26" s="1058" t="s">
        <v>755</v>
      </c>
      <c r="L26" s="1045"/>
      <c r="M26" s="1045"/>
      <c r="N26" s="1372"/>
      <c r="O26" s="1071" t="s">
        <v>751</v>
      </c>
      <c r="Q26" s="1044">
        <v>5475</v>
      </c>
      <c r="R26" s="1045" t="s">
        <v>1401</v>
      </c>
      <c r="S26" s="1046"/>
      <c r="T26" s="1046"/>
      <c r="U26" s="1046"/>
      <c r="V26" s="1047"/>
    </row>
    <row r="27" spans="1:22" ht="12.75" customHeight="1">
      <c r="A27" s="964" t="s">
        <v>1359</v>
      </c>
      <c r="B27" s="962"/>
      <c r="C27" s="968">
        <v>0</v>
      </c>
      <c r="D27" s="978" t="s">
        <v>746</v>
      </c>
      <c r="E27" s="979"/>
      <c r="F27" s="961">
        <v>1</v>
      </c>
      <c r="G27" s="955" t="s">
        <v>1613</v>
      </c>
      <c r="H27" s="966"/>
      <c r="I27" s="977">
        <v>0</v>
      </c>
      <c r="K27" s="1061" t="s">
        <v>1012</v>
      </c>
      <c r="L27" s="1056"/>
      <c r="M27" s="1062"/>
      <c r="N27" s="1063"/>
      <c r="O27" s="1069" t="s">
        <v>1013</v>
      </c>
      <c r="Q27" s="927">
        <v>3800</v>
      </c>
      <c r="R27" s="928" t="s">
        <v>1144</v>
      </c>
      <c r="S27" s="944"/>
      <c r="T27" s="944"/>
      <c r="U27" s="944"/>
      <c r="V27" s="945"/>
    </row>
    <row r="28" spans="1:22" ht="12.75" customHeight="1" thickBot="1">
      <c r="A28" s="969" t="s">
        <v>474</v>
      </c>
      <c r="B28" s="962"/>
      <c r="C28" s="980">
        <v>0</v>
      </c>
      <c r="D28" s="964" t="s">
        <v>418</v>
      </c>
      <c r="E28" s="962"/>
      <c r="F28" s="960">
        <v>5</v>
      </c>
      <c r="G28" s="964" t="s">
        <v>1593</v>
      </c>
      <c r="H28" s="962"/>
      <c r="I28" s="961">
        <v>0</v>
      </c>
      <c r="K28" s="1058" t="s">
        <v>3156</v>
      </c>
      <c r="L28" s="1055"/>
      <c r="M28" s="1055"/>
      <c r="N28" s="1059"/>
      <c r="O28" s="1071" t="s">
        <v>751</v>
      </c>
      <c r="Q28" s="1048">
        <v>0</v>
      </c>
      <c r="R28" s="1049" t="s">
        <v>1402</v>
      </c>
      <c r="S28" s="1050"/>
      <c r="T28" s="1050"/>
      <c r="U28" s="1050"/>
      <c r="V28" s="1051"/>
    </row>
    <row r="29" spans="1:22" ht="12.75" customHeight="1">
      <c r="A29" s="958" t="s">
        <v>745</v>
      </c>
      <c r="B29" s="959"/>
      <c r="C29" s="968">
        <v>0</v>
      </c>
      <c r="D29" s="964" t="s">
        <v>417</v>
      </c>
      <c r="E29" s="962"/>
      <c r="F29" s="960">
        <v>0</v>
      </c>
      <c r="G29" s="958" t="s">
        <v>2153</v>
      </c>
      <c r="H29" s="959"/>
      <c r="I29" s="960">
        <v>0</v>
      </c>
      <c r="K29" s="1306" t="s">
        <v>3157</v>
      </c>
      <c r="L29" s="1045"/>
      <c r="M29" s="1045"/>
      <c r="N29" s="1372"/>
      <c r="O29" s="1071" t="s">
        <v>751</v>
      </c>
    </row>
    <row r="30" spans="1:22" ht="12.75" customHeight="1">
      <c r="A30" s="920" t="s">
        <v>753</v>
      </c>
      <c r="B30" s="921"/>
      <c r="C30" s="936">
        <v>0</v>
      </c>
      <c r="D30" s="914" t="s">
        <v>475</v>
      </c>
      <c r="E30" s="934"/>
      <c r="F30" s="916">
        <v>0</v>
      </c>
      <c r="G30" s="914" t="s">
        <v>476</v>
      </c>
      <c r="H30" s="934"/>
      <c r="I30" s="916">
        <v>0</v>
      </c>
      <c r="K30" s="1061" t="s">
        <v>1014</v>
      </c>
      <c r="L30" s="1056"/>
      <c r="M30" s="1062"/>
      <c r="N30" s="1063"/>
      <c r="O30" s="1071" t="s">
        <v>1013</v>
      </c>
    </row>
    <row r="31" spans="1:22" ht="12.75" customHeight="1">
      <c r="A31" s="917" t="s">
        <v>747</v>
      </c>
      <c r="B31" s="918"/>
      <c r="C31" s="919">
        <v>0</v>
      </c>
      <c r="D31" s="917" t="s">
        <v>748</v>
      </c>
      <c r="E31" s="918"/>
      <c r="F31" s="926">
        <v>2</v>
      </c>
      <c r="G31" s="917" t="s">
        <v>2155</v>
      </c>
      <c r="H31" s="918"/>
      <c r="I31" s="926">
        <v>0</v>
      </c>
      <c r="K31" s="1306" t="s">
        <v>3192</v>
      </c>
      <c r="L31" s="1045"/>
      <c r="M31" s="1045"/>
      <c r="N31" s="1372"/>
      <c r="O31" s="1071" t="s">
        <v>751</v>
      </c>
    </row>
    <row r="32" spans="1:22" ht="12.75" customHeight="1">
      <c r="A32" s="935"/>
      <c r="B32" s="934"/>
      <c r="C32" s="934"/>
      <c r="D32" s="937" t="s">
        <v>2223</v>
      </c>
      <c r="E32" s="938"/>
      <c r="F32" s="926">
        <v>3</v>
      </c>
      <c r="G32" s="935"/>
      <c r="H32" s="934"/>
      <c r="I32" s="939"/>
      <c r="K32" s="1306" t="s">
        <v>3195</v>
      </c>
      <c r="L32" s="1045"/>
      <c r="M32" s="1045"/>
      <c r="N32" s="1379" t="b">
        <v>0</v>
      </c>
      <c r="O32" s="1071">
        <v>10000</v>
      </c>
    </row>
    <row r="33" spans="1:18" ht="12.75" customHeight="1">
      <c r="A33" s="981" t="s">
        <v>477</v>
      </c>
      <c r="B33" s="982"/>
      <c r="C33" s="976">
        <v>0</v>
      </c>
      <c r="D33" s="958" t="s">
        <v>754</v>
      </c>
      <c r="E33" s="959"/>
      <c r="F33" s="960">
        <v>2</v>
      </c>
      <c r="G33" s="983" t="s">
        <v>478</v>
      </c>
      <c r="H33" s="959"/>
      <c r="I33" s="973">
        <v>0</v>
      </c>
      <c r="K33" s="1061" t="s">
        <v>3000</v>
      </c>
      <c r="L33" s="1055"/>
      <c r="M33" s="1055"/>
      <c r="N33" s="1059"/>
      <c r="O33" s="1072">
        <v>1</v>
      </c>
      <c r="R33" s="493"/>
    </row>
    <row r="34" spans="1:18" ht="12.75" customHeight="1">
      <c r="A34" s="955" t="s">
        <v>479</v>
      </c>
      <c r="B34" s="966"/>
      <c r="C34" s="957">
        <v>0</v>
      </c>
      <c r="D34" s="958" t="s">
        <v>752</v>
      </c>
      <c r="E34" s="959"/>
      <c r="F34" s="960">
        <v>1</v>
      </c>
      <c r="G34" s="955" t="s">
        <v>480</v>
      </c>
      <c r="H34" s="966"/>
      <c r="I34" s="977">
        <v>0</v>
      </c>
      <c r="K34" s="1061" t="s">
        <v>3035</v>
      </c>
      <c r="L34" s="1055"/>
      <c r="M34" s="1055"/>
      <c r="N34" s="1059"/>
      <c r="O34" s="1073">
        <v>1</v>
      </c>
    </row>
    <row r="35" spans="1:18" ht="12.75" customHeight="1">
      <c r="A35" s="965"/>
      <c r="B35" s="966"/>
      <c r="C35" s="966"/>
      <c r="D35" s="955" t="s">
        <v>481</v>
      </c>
      <c r="E35" s="966"/>
      <c r="F35" s="977">
        <v>2</v>
      </c>
      <c r="G35" s="955" t="s">
        <v>409</v>
      </c>
      <c r="H35" s="966"/>
      <c r="I35" s="977">
        <v>0</v>
      </c>
      <c r="K35" s="1061" t="s">
        <v>2871</v>
      </c>
      <c r="L35" s="1055"/>
      <c r="M35" s="1055"/>
      <c r="N35" s="1059"/>
      <c r="O35" s="1071">
        <v>300</v>
      </c>
    </row>
    <row r="36" spans="1:18" ht="12.75" customHeight="1" thickBot="1">
      <c r="A36" s="920" t="s">
        <v>756</v>
      </c>
      <c r="B36" s="921"/>
      <c r="C36" s="936">
        <v>0</v>
      </c>
      <c r="D36" s="917" t="s">
        <v>761</v>
      </c>
      <c r="E36" s="918"/>
      <c r="F36" s="922">
        <v>5</v>
      </c>
      <c r="G36" s="917" t="s">
        <v>2157</v>
      </c>
      <c r="H36" s="918"/>
      <c r="I36" s="922">
        <v>0</v>
      </c>
      <c r="K36" s="1064" t="s">
        <v>919</v>
      </c>
      <c r="L36" s="1057"/>
      <c r="M36" s="1057"/>
      <c r="N36" s="1065"/>
      <c r="O36" s="1074" t="s">
        <v>751</v>
      </c>
      <c r="R36" s="64"/>
    </row>
    <row r="37" spans="1:18" ht="12.75" customHeight="1" thickBot="1">
      <c r="A37" s="984" t="s">
        <v>750</v>
      </c>
      <c r="B37" s="985"/>
      <c r="C37" s="986">
        <v>0</v>
      </c>
      <c r="D37" s="984" t="s">
        <v>762</v>
      </c>
      <c r="E37" s="985"/>
      <c r="F37" s="987">
        <v>1</v>
      </c>
      <c r="G37" s="984" t="s">
        <v>1524</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43" t="s">
        <v>1441</v>
      </c>
      <c r="B39" s="1444"/>
      <c r="C39" s="494">
        <f>CharLevel-9-I39</f>
        <v>0</v>
      </c>
      <c r="D39" s="999"/>
      <c r="E39" s="999"/>
      <c r="F39" s="999"/>
      <c r="G39" s="1448" t="s">
        <v>410</v>
      </c>
      <c r="H39" s="1449"/>
      <c r="I39" s="495">
        <f>C38+F38+I38</f>
        <v>61</v>
      </c>
    </row>
    <row r="40" spans="1:18" ht="13.5" thickBot="1">
      <c r="A40" s="167"/>
      <c r="B40" s="167"/>
      <c r="C40" s="167"/>
      <c r="D40" s="167"/>
      <c r="E40" s="167"/>
      <c r="F40" s="167"/>
      <c r="G40" s="167"/>
      <c r="H40" s="167"/>
      <c r="I40" s="167"/>
    </row>
    <row r="41" spans="1:18" ht="13.5" thickBot="1">
      <c r="A41" s="1445" t="s">
        <v>763</v>
      </c>
      <c r="B41" s="1446"/>
      <c r="C41" s="1446"/>
      <c r="D41" s="1446"/>
      <c r="E41" s="1446"/>
      <c r="F41" s="1446"/>
      <c r="G41" s="1447"/>
      <c r="H41" s="64"/>
      <c r="I41" s="64"/>
      <c r="J41" s="64"/>
    </row>
    <row r="42" spans="1:18" ht="13.5" thickBot="1">
      <c r="A42" s="1486" t="s">
        <v>3043</v>
      </c>
      <c r="B42" s="1487"/>
      <c r="C42" s="1487"/>
      <c r="D42" s="1487"/>
      <c r="E42" s="1487"/>
      <c r="F42" s="1487"/>
      <c r="G42" s="1488"/>
      <c r="H42" s="64"/>
      <c r="I42" s="64"/>
      <c r="J42" s="64"/>
    </row>
    <row r="43" spans="1:18">
      <c r="A43" s="1037"/>
      <c r="B43" s="1489"/>
      <c r="C43" s="1489"/>
      <c r="D43" s="501"/>
      <c r="E43" s="501"/>
      <c r="F43" s="501"/>
      <c r="G43" s="502"/>
      <c r="H43" s="64"/>
      <c r="I43" s="64"/>
      <c r="J43" s="64"/>
    </row>
    <row r="44" spans="1:18">
      <c r="A44" s="1038"/>
      <c r="B44" s="1490"/>
      <c r="C44" s="1490"/>
      <c r="D44" s="499"/>
      <c r="E44" s="499"/>
      <c r="F44" s="499"/>
      <c r="G44" s="500"/>
      <c r="H44" s="64"/>
      <c r="I44" s="64"/>
      <c r="J44" s="64"/>
    </row>
    <row r="45" spans="1:18">
      <c r="A45" s="1029"/>
      <c r="B45" s="1481" t="s">
        <v>864</v>
      </c>
      <c r="C45" s="1483"/>
      <c r="D45" s="1481" t="s">
        <v>863</v>
      </c>
      <c r="E45" s="1482"/>
      <c r="F45" s="1481" t="s">
        <v>862</v>
      </c>
      <c r="G45" s="1482"/>
      <c r="H45" s="64"/>
      <c r="I45" s="64"/>
      <c r="J45" s="64"/>
      <c r="K45" s="64"/>
      <c r="L45" s="64"/>
    </row>
    <row r="46" spans="1:18">
      <c r="A46" s="1027" t="s">
        <v>765</v>
      </c>
      <c r="B46" s="1030">
        <f>nextstat2!$H$4</f>
        <v>1</v>
      </c>
      <c r="C46" s="1031" t="s">
        <v>766</v>
      </c>
      <c r="D46" s="1030">
        <f>B46/B$48</f>
        <v>2.3149828155506516</v>
      </c>
      <c r="E46" s="1032" t="s">
        <v>768</v>
      </c>
      <c r="F46" s="1033">
        <f>nextstat2!$E$4</f>
        <v>0.8272128693349714</v>
      </c>
      <c r="G46" s="1032" t="s">
        <v>1538</v>
      </c>
      <c r="H46" s="64"/>
      <c r="I46" s="64"/>
      <c r="J46" s="64"/>
      <c r="K46" s="64"/>
      <c r="L46" s="64"/>
    </row>
    <row r="47" spans="1:18">
      <c r="A47" s="1027" t="s">
        <v>767</v>
      </c>
      <c r="B47" s="1030">
        <f>nextstat2!$H$11</f>
        <v>0.47516551423727965</v>
      </c>
      <c r="C47" s="1031" t="s">
        <v>766</v>
      </c>
      <c r="D47" s="1030">
        <f>B47/B$48</f>
        <v>1.1000000000015908</v>
      </c>
      <c r="E47" s="1031" t="s">
        <v>768</v>
      </c>
      <c r="F47" s="1033">
        <f>nextstat2!$E$11</f>
        <v>0.3930630284412473</v>
      </c>
      <c r="G47" s="1031" t="s">
        <v>1538</v>
      </c>
      <c r="H47" s="64"/>
      <c r="I47" s="64"/>
      <c r="J47" s="64"/>
      <c r="K47" s="64"/>
      <c r="L47" s="64"/>
    </row>
    <row r="48" spans="1:18">
      <c r="A48" s="1027" t="s">
        <v>768</v>
      </c>
      <c r="B48" s="1030">
        <f>nextstat2!$H$3</f>
        <v>0.43196864930599316</v>
      </c>
      <c r="C48" s="1031" t="s">
        <v>766</v>
      </c>
      <c r="D48" s="1030">
        <v>1</v>
      </c>
      <c r="E48" s="1031" t="s">
        <v>768</v>
      </c>
      <c r="F48" s="1033">
        <f>nextstat2!$E$3</f>
        <v>0.3573300258551626</v>
      </c>
      <c r="G48" s="1031" t="s">
        <v>1538</v>
      </c>
      <c r="H48" s="64"/>
      <c r="I48" s="64"/>
      <c r="J48" s="64"/>
      <c r="K48" s="64"/>
      <c r="L48" s="64"/>
      <c r="M48" s="64"/>
    </row>
    <row r="49" spans="1:25">
      <c r="A49" s="1027" t="s">
        <v>2139</v>
      </c>
      <c r="B49" s="1030">
        <f>nextstat2!$H$6</f>
        <v>6.7093147034680944</v>
      </c>
      <c r="C49" s="1031" t="s">
        <v>766</v>
      </c>
      <c r="D49" s="1030">
        <f>B49/B$48</f>
        <v>15.531948242649953</v>
      </c>
      <c r="E49" s="1031" t="s">
        <v>768</v>
      </c>
      <c r="F49" s="1033">
        <f>nextstat2!$E$6</f>
        <v>5.5500314671271553</v>
      </c>
      <c r="G49" s="1031" t="s">
        <v>1538</v>
      </c>
      <c r="H49" s="64"/>
      <c r="I49" s="64"/>
      <c r="J49" s="64"/>
      <c r="K49" s="64"/>
      <c r="L49" s="64"/>
      <c r="M49" s="64"/>
    </row>
    <row r="50" spans="1:25">
      <c r="A50" s="1027" t="s">
        <v>2140</v>
      </c>
      <c r="B50" s="1030">
        <f>nextstat2!$H$5</f>
        <v>0.82904453125931488</v>
      </c>
      <c r="C50" s="1031" t="s">
        <v>766</v>
      </c>
      <c r="D50" s="1030">
        <f>B50/B$48</f>
        <v>1.9192238431915589</v>
      </c>
      <c r="E50" s="1031" t="s">
        <v>768</v>
      </c>
      <c r="F50" s="1033">
        <f>nextstat2!$E$5</f>
        <v>0.68579630550948423</v>
      </c>
      <c r="G50" s="1031" t="s">
        <v>1538</v>
      </c>
      <c r="H50" s="64"/>
      <c r="I50" s="64"/>
      <c r="J50" s="64"/>
      <c r="K50" s="64"/>
      <c r="L50" s="64"/>
      <c r="M50" s="64"/>
    </row>
    <row r="51" spans="1:25">
      <c r="A51" s="1027" t="s">
        <v>1582</v>
      </c>
      <c r="B51" s="1030">
        <f>nextstat2!$H$9</f>
        <v>1.4247966757057076</v>
      </c>
      <c r="C51" s="1031" t="s">
        <v>766</v>
      </c>
      <c r="D51" s="1039">
        <f>B51/B$48</f>
        <v>3.2983798199124075</v>
      </c>
      <c r="E51" s="1031" t="s">
        <v>768</v>
      </c>
      <c r="F51" s="1033">
        <f>nextstat2!$E$9</f>
        <v>1.1786101463294472</v>
      </c>
      <c r="G51" s="1031" t="s">
        <v>1538</v>
      </c>
      <c r="H51" s="64"/>
      <c r="I51" s="64"/>
      <c r="J51" s="64"/>
      <c r="K51" s="64"/>
      <c r="L51" s="64"/>
    </row>
    <row r="52" spans="1:25">
      <c r="A52" s="1027" t="s">
        <v>770</v>
      </c>
      <c r="B52" s="1030">
        <f>nextstat2!$H$8</f>
        <v>0.14858158751251888</v>
      </c>
      <c r="C52" s="1031" t="s">
        <v>766</v>
      </c>
      <c r="D52" s="1030">
        <f>B52/B$48</f>
        <v>0.34396382179871648</v>
      </c>
      <c r="E52" s="1031" t="s">
        <v>768</v>
      </c>
      <c r="F52" s="1033">
        <f>nextstat2!$E$8</f>
        <v>0.12290860133657588</v>
      </c>
      <c r="G52" s="1031" t="s">
        <v>1538</v>
      </c>
      <c r="H52" s="64"/>
      <c r="I52" s="64"/>
      <c r="J52" s="64"/>
      <c r="K52" s="64"/>
      <c r="L52" s="64"/>
      <c r="P52" s="167"/>
    </row>
    <row r="53" spans="1:25" ht="13.5" thickBot="1">
      <c r="A53" s="1028" t="s">
        <v>771</v>
      </c>
      <c r="B53" s="1034">
        <f>nextstat2!$H$7</f>
        <v>4.4382587301521434</v>
      </c>
      <c r="C53" s="1035" t="s">
        <v>766</v>
      </c>
      <c r="D53" s="1034">
        <f>B53/B$48</f>
        <v>10.274492691269868</v>
      </c>
      <c r="E53" s="1035" t="s">
        <v>768</v>
      </c>
      <c r="F53" s="1036">
        <f>nextstat2!$E$7</f>
        <v>3.6713847390201408</v>
      </c>
      <c r="G53" s="1035" t="s">
        <v>1538</v>
      </c>
      <c r="H53" s="64"/>
      <c r="I53" s="64"/>
      <c r="J53" s="64"/>
      <c r="K53" s="64"/>
      <c r="L53" s="64"/>
      <c r="P53" s="167"/>
    </row>
    <row r="54" spans="1:25" ht="13.5" thickBot="1">
      <c r="A54" s="1486" t="s">
        <v>772</v>
      </c>
      <c r="B54" s="1487"/>
      <c r="C54" s="1487"/>
      <c r="D54" s="1487"/>
      <c r="E54" s="1487"/>
      <c r="F54" s="1488"/>
      <c r="H54" s="64"/>
      <c r="I54" s="64"/>
      <c r="J54" s="64"/>
      <c r="K54" s="64"/>
      <c r="L54" s="64"/>
      <c r="P54" s="64"/>
      <c r="Q54" s="64"/>
    </row>
    <row r="55" spans="1:25">
      <c r="A55" s="1484" t="s">
        <v>773</v>
      </c>
      <c r="B55" s="1485"/>
      <c r="C55" s="1095">
        <v>0</v>
      </c>
      <c r="D55" s="1083" t="s">
        <v>774</v>
      </c>
      <c r="E55" s="1084"/>
      <c r="F55" s="1098">
        <v>13</v>
      </c>
      <c r="H55" s="64"/>
      <c r="I55" s="64"/>
      <c r="J55" s="64"/>
      <c r="K55" s="64"/>
      <c r="L55" s="64"/>
      <c r="P55" s="64"/>
      <c r="Q55" s="64"/>
    </row>
    <row r="56" spans="1:25">
      <c r="A56" s="1479" t="s">
        <v>775</v>
      </c>
      <c r="B56" s="1480"/>
      <c r="C56" s="1096">
        <v>0</v>
      </c>
      <c r="D56" s="1085" t="s">
        <v>776</v>
      </c>
      <c r="E56" s="1086"/>
      <c r="F56" s="1097">
        <v>8</v>
      </c>
      <c r="H56" s="64"/>
      <c r="I56" s="64"/>
      <c r="J56" s="64"/>
      <c r="K56" s="64"/>
      <c r="L56" s="64"/>
      <c r="O56" s="167"/>
      <c r="P56" s="64"/>
      <c r="Q56" s="64"/>
    </row>
    <row r="57" spans="1:25">
      <c r="A57" s="1479" t="s">
        <v>777</v>
      </c>
      <c r="B57" s="1480"/>
      <c r="C57" s="1097">
        <v>0</v>
      </c>
      <c r="D57" s="1085" t="s">
        <v>778</v>
      </c>
      <c r="E57" s="1086"/>
      <c r="F57" s="1097">
        <v>8</v>
      </c>
      <c r="K57" s="64"/>
      <c r="L57" s="64"/>
      <c r="N57" s="167"/>
      <c r="O57" s="167"/>
      <c r="P57" s="64"/>
      <c r="Q57" s="64"/>
    </row>
    <row r="58" spans="1:25">
      <c r="A58" s="1479" t="s">
        <v>779</v>
      </c>
      <c r="B58" s="1480"/>
      <c r="C58" s="1097">
        <v>0</v>
      </c>
      <c r="D58" s="1085" t="s">
        <v>780</v>
      </c>
      <c r="E58" s="1086"/>
      <c r="F58" s="1097">
        <v>8</v>
      </c>
      <c r="M58" s="64"/>
      <c r="N58" s="64"/>
      <c r="O58" s="64"/>
      <c r="P58" s="64"/>
      <c r="Q58" s="64"/>
    </row>
    <row r="59" spans="1:25" ht="13.5" thickBot="1">
      <c r="A59" s="1479" t="s">
        <v>1474</v>
      </c>
      <c r="B59" s="1480"/>
      <c r="C59" s="1097">
        <v>0</v>
      </c>
      <c r="D59" s="1085" t="s">
        <v>1475</v>
      </c>
      <c r="E59" s="1086"/>
      <c r="F59" s="1097">
        <v>0</v>
      </c>
      <c r="P59" s="64"/>
      <c r="Q59" s="64"/>
    </row>
    <row r="60" spans="1:25">
      <c r="A60" s="1087" t="s">
        <v>769</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9" t="s">
        <v>3049</v>
      </c>
      <c r="F1" s="1519" t="s">
        <v>1538</v>
      </c>
      <c r="G1" s="1550">
        <f>'Damage Calc'!$J$16</f>
        <v>1548.8183523690223</v>
      </c>
      <c r="H1" s="1550"/>
      <c r="I1" s="1551"/>
    </row>
    <row r="2" spans="2:10" ht="13.5" customHeight="1" thickBot="1">
      <c r="B2" s="1549"/>
      <c r="F2" s="1548"/>
      <c r="G2" s="1552"/>
      <c r="H2" s="1552"/>
      <c r="I2" s="1553"/>
    </row>
    <row r="3" spans="2:10">
      <c r="B3" s="888">
        <v>1</v>
      </c>
      <c r="F3" s="1008" t="s">
        <v>1137</v>
      </c>
      <c r="G3" s="1526">
        <f>'Gear &amp; Buffs'!$C$7</f>
        <v>1548.8183523690223</v>
      </c>
      <c r="H3" s="1526"/>
      <c r="I3" s="1527"/>
    </row>
    <row r="4" spans="2:10" ht="13.5" thickBot="1">
      <c r="B4" s="888"/>
      <c r="F4" s="1159" t="s">
        <v>590</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2917</v>
      </c>
      <c r="C7" s="1162"/>
      <c r="D7" s="888"/>
      <c r="E7" s="618" t="s">
        <v>2919</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3050</v>
      </c>
      <c r="I8" s="1160" t="s">
        <v>751</v>
      </c>
      <c r="J8" s="888" t="b">
        <f>I8="Yes"</f>
        <v>0</v>
      </c>
    </row>
    <row r="9" spans="2:10">
      <c r="B9" s="1161" t="s">
        <v>3051</v>
      </c>
      <c r="C9" s="1160" t="s">
        <v>751</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2971</v>
      </c>
      <c r="I9" s="1020">
        <v>0</v>
      </c>
      <c r="J9" s="888"/>
    </row>
    <row r="10" spans="2:10" ht="13.5" thickBot="1">
      <c r="B10" s="1165" t="s">
        <v>2929</v>
      </c>
      <c r="C10" s="1020">
        <v>0</v>
      </c>
      <c r="D10" s="888"/>
      <c r="E10" s="1161" t="s">
        <v>3051</v>
      </c>
      <c r="F10" s="1160" t="s">
        <v>751</v>
      </c>
      <c r="G10" s="888" t="b">
        <f>F10="Yes"</f>
        <v>0</v>
      </c>
      <c r="H10" s="1166" t="s">
        <v>2972</v>
      </c>
      <c r="I10" s="1167">
        <v>300</v>
      </c>
      <c r="J10" s="888"/>
    </row>
    <row r="11" spans="2:10" ht="13.5" thickBot="1">
      <c r="B11" s="1161" t="s">
        <v>3052</v>
      </c>
      <c r="C11" s="1160" t="s">
        <v>751</v>
      </c>
      <c r="D11" s="888" t="b">
        <f>C11="Yes"</f>
        <v>0</v>
      </c>
      <c r="E11" s="1165" t="s">
        <v>2945</v>
      </c>
      <c r="F11" s="1020">
        <v>0</v>
      </c>
      <c r="G11" s="888"/>
      <c r="J11" s="888"/>
    </row>
    <row r="12" spans="2:10" ht="13.5" thickBot="1">
      <c r="B12" s="1165" t="s">
        <v>2930</v>
      </c>
      <c r="C12" s="1020">
        <v>60</v>
      </c>
      <c r="D12" s="888"/>
      <c r="E12" s="1161" t="s">
        <v>3052</v>
      </c>
      <c r="F12" s="1160" t="s">
        <v>751</v>
      </c>
      <c r="G12" s="888" t="b">
        <f>F12="Yes"</f>
        <v>0</v>
      </c>
      <c r="H12" s="618" t="str">
        <f>IF('Cooldowns Calc'!AL38,"","No ")&amp;"Thistle Tea"</f>
        <v>Thistle Tea</v>
      </c>
      <c r="I12" s="1162"/>
      <c r="J12" s="888"/>
    </row>
    <row r="13" spans="2:10">
      <c r="B13" s="1165" t="s">
        <v>2931</v>
      </c>
      <c r="C13" s="1020">
        <v>120</v>
      </c>
      <c r="D13" s="888"/>
      <c r="E13" s="1165" t="s">
        <v>2946</v>
      </c>
      <c r="F13" s="1020">
        <v>120</v>
      </c>
      <c r="G13" s="888"/>
      <c r="H13" s="1161" t="s">
        <v>3055</v>
      </c>
      <c r="I13" s="1160" t="s">
        <v>751</v>
      </c>
      <c r="J13" s="888" t="b">
        <f>I13="Yes"</f>
        <v>0</v>
      </c>
    </row>
    <row r="14" spans="2:10">
      <c r="B14" s="1165" t="s">
        <v>2932</v>
      </c>
      <c r="C14" s="1020">
        <v>180</v>
      </c>
      <c r="D14" s="888"/>
      <c r="E14" s="1165" t="s">
        <v>2947</v>
      </c>
      <c r="F14" s="1020">
        <v>240</v>
      </c>
      <c r="G14" s="888"/>
      <c r="H14" s="1165" t="s">
        <v>2973</v>
      </c>
      <c r="I14" s="1020">
        <v>0</v>
      </c>
      <c r="J14" s="888"/>
    </row>
    <row r="15" spans="2:10" ht="13.5" thickBot="1">
      <c r="B15" s="1165" t="s">
        <v>2933</v>
      </c>
      <c r="C15" s="1020">
        <v>240</v>
      </c>
      <c r="D15" s="888"/>
      <c r="E15" s="1165" t="s">
        <v>2948</v>
      </c>
      <c r="F15" s="1020">
        <v>360</v>
      </c>
      <c r="G15" s="888"/>
      <c r="H15" s="1166" t="s">
        <v>2974</v>
      </c>
      <c r="I15" s="1167">
        <v>300</v>
      </c>
      <c r="J15" s="888"/>
    </row>
    <row r="16" spans="2:10" ht="13.5" thickBot="1">
      <c r="B16" s="1165" t="s">
        <v>2934</v>
      </c>
      <c r="C16" s="1020">
        <v>300</v>
      </c>
      <c r="D16" s="888"/>
      <c r="E16" s="1166" t="s">
        <v>2949</v>
      </c>
      <c r="F16" s="1167">
        <v>480</v>
      </c>
      <c r="G16" s="888"/>
      <c r="J16" s="888"/>
    </row>
    <row r="17" spans="2:10" ht="13.5" thickBot="1">
      <c r="B17" s="1165" t="s">
        <v>2935</v>
      </c>
      <c r="C17" s="1020">
        <v>360</v>
      </c>
      <c r="D17" s="888"/>
      <c r="G17" s="888"/>
      <c r="H17" s="618" t="str">
        <f>IF(blust,"","No ")&amp;"Bloodlust / Heroism"</f>
        <v>Bloodlust / Heroism</v>
      </c>
      <c r="I17" s="1162"/>
      <c r="J17" s="888"/>
    </row>
    <row r="18" spans="2:10">
      <c r="B18" s="1165" t="s">
        <v>2936</v>
      </c>
      <c r="C18" s="1020">
        <v>420</v>
      </c>
      <c r="D18" s="888"/>
      <c r="H18" s="1161" t="s">
        <v>3056</v>
      </c>
      <c r="I18" s="1160" t="s">
        <v>751</v>
      </c>
      <c r="J18" s="888" t="b">
        <f>I18="Yes"</f>
        <v>0</v>
      </c>
    </row>
    <row r="19" spans="2:10">
      <c r="B19" s="1165" t="s">
        <v>2937</v>
      </c>
      <c r="C19" s="1020">
        <v>480</v>
      </c>
      <c r="D19" s="888"/>
      <c r="H19" s="1165" t="s">
        <v>2924</v>
      </c>
      <c r="I19" s="1020">
        <v>0</v>
      </c>
      <c r="J19" s="888"/>
    </row>
    <row r="20" spans="2:10" ht="13.5" thickBot="1">
      <c r="B20" s="1166" t="s">
        <v>2938</v>
      </c>
      <c r="C20" s="1167">
        <v>540</v>
      </c>
      <c r="D20" s="888"/>
      <c r="H20" s="1165" t="s">
        <v>2925</v>
      </c>
      <c r="I20" s="1020">
        <v>40</v>
      </c>
      <c r="J20" s="888"/>
    </row>
    <row r="21" spans="2:10" ht="13.5" thickBot="1">
      <c r="D21" s="888"/>
      <c r="H21" s="1165" t="s">
        <v>2926</v>
      </c>
      <c r="I21" s="1020">
        <v>80</v>
      </c>
      <c r="J21" s="888"/>
    </row>
    <row r="22" spans="2:10" ht="13.5" thickBot="1">
      <c r="B22" s="618" t="s">
        <v>2918</v>
      </c>
      <c r="C22" s="1162"/>
      <c r="D22" s="888"/>
      <c r="E22" s="618" t="s">
        <v>2921</v>
      </c>
      <c r="F22" s="1162"/>
      <c r="G22" s="888"/>
      <c r="H22" s="1165" t="s">
        <v>2927</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2928</v>
      </c>
      <c r="I23" s="1020">
        <v>160</v>
      </c>
      <c r="J23" s="888"/>
    </row>
    <row r="24" spans="2:10">
      <c r="B24" s="1161" t="s">
        <v>3051</v>
      </c>
      <c r="C24" s="1160" t="s">
        <v>751</v>
      </c>
      <c r="D24" s="888" t="b">
        <f>C24="Yes"</f>
        <v>0</v>
      </c>
      <c r="E24" s="1169" t="str">
        <f>"| "&amp;IF(CharRace="Troll","Berserking | ","")</f>
        <v xml:space="preserve">| </v>
      </c>
      <c r="F24" s="1172"/>
      <c r="G24" s="888"/>
      <c r="H24" s="1165" t="s">
        <v>2957</v>
      </c>
      <c r="I24" s="1020">
        <v>200</v>
      </c>
      <c r="J24" s="888"/>
    </row>
    <row r="25" spans="2:10">
      <c r="B25" s="1165" t="s">
        <v>2939</v>
      </c>
      <c r="C25" s="1020">
        <v>0</v>
      </c>
      <c r="D25" s="888"/>
      <c r="E25" s="1161" t="s">
        <v>3051</v>
      </c>
      <c r="F25" s="1160" t="s">
        <v>751</v>
      </c>
      <c r="G25" s="888" t="b">
        <f>F25="Yes"</f>
        <v>0</v>
      </c>
      <c r="H25" s="1165" t="s">
        <v>2958</v>
      </c>
      <c r="I25" s="1020">
        <v>240</v>
      </c>
      <c r="J25" s="888"/>
    </row>
    <row r="26" spans="2:10">
      <c r="B26" s="1161" t="s">
        <v>3052</v>
      </c>
      <c r="C26" s="1160" t="s">
        <v>751</v>
      </c>
      <c r="D26" s="888" t="b">
        <f>C26="Yes"</f>
        <v>0</v>
      </c>
      <c r="E26" s="1165" t="s">
        <v>2950</v>
      </c>
      <c r="F26" s="1020">
        <v>0</v>
      </c>
      <c r="G26" s="888"/>
      <c r="H26" s="1165" t="s">
        <v>2959</v>
      </c>
      <c r="I26" s="1020">
        <v>280</v>
      </c>
      <c r="J26" s="888"/>
    </row>
    <row r="27" spans="2:10">
      <c r="B27" s="1161" t="s">
        <v>3053</v>
      </c>
      <c r="C27" s="1160" t="s">
        <v>751</v>
      </c>
      <c r="D27" s="888" t="b">
        <f>C27="Yes"</f>
        <v>0</v>
      </c>
      <c r="E27" s="1161" t="s">
        <v>3052</v>
      </c>
      <c r="F27" s="1160" t="s">
        <v>751</v>
      </c>
      <c r="G27" s="888" t="b">
        <f>F27="Yes"</f>
        <v>0</v>
      </c>
      <c r="H27" s="1165" t="s">
        <v>2960</v>
      </c>
      <c r="I27" s="1020">
        <v>320</v>
      </c>
      <c r="J27" s="888"/>
    </row>
    <row r="28" spans="2:10">
      <c r="B28" s="1165" t="s">
        <v>2940</v>
      </c>
      <c r="C28" s="1020">
        <v>90</v>
      </c>
      <c r="D28" s="888"/>
      <c r="E28" s="1161" t="s">
        <v>3054</v>
      </c>
      <c r="F28" s="1160" t="s">
        <v>751</v>
      </c>
      <c r="G28" s="888" t="b">
        <f>F28="Yes"</f>
        <v>0</v>
      </c>
      <c r="H28" s="1165" t="s">
        <v>2961</v>
      </c>
      <c r="I28" s="1020">
        <v>360</v>
      </c>
      <c r="J28" s="888"/>
    </row>
    <row r="29" spans="2:10">
      <c r="B29" s="1165" t="s">
        <v>2941</v>
      </c>
      <c r="C29" s="1020">
        <v>180</v>
      </c>
      <c r="D29" s="888"/>
      <c r="E29" s="1165" t="s">
        <v>2951</v>
      </c>
      <c r="F29" s="1020">
        <v>180</v>
      </c>
      <c r="G29" s="888"/>
      <c r="H29" s="1165" t="s">
        <v>2962</v>
      </c>
      <c r="I29" s="1020">
        <v>400</v>
      </c>
      <c r="J29" s="888"/>
    </row>
    <row r="30" spans="2:10">
      <c r="B30" s="1165" t="s">
        <v>2942</v>
      </c>
      <c r="C30" s="1020">
        <v>270</v>
      </c>
      <c r="D30" s="888"/>
      <c r="E30" s="1165" t="s">
        <v>2952</v>
      </c>
      <c r="F30" s="1020">
        <v>360</v>
      </c>
      <c r="G30" s="888"/>
      <c r="H30" s="1165" t="s">
        <v>2963</v>
      </c>
      <c r="I30" s="1020">
        <v>440</v>
      </c>
      <c r="J30" s="888"/>
    </row>
    <row r="31" spans="2:10" ht="13.5" thickBot="1">
      <c r="B31" s="1165" t="s">
        <v>2943</v>
      </c>
      <c r="C31" s="1020">
        <v>360</v>
      </c>
      <c r="D31" s="888"/>
      <c r="E31" s="1166" t="s">
        <v>2953</v>
      </c>
      <c r="F31" s="1167">
        <v>540</v>
      </c>
      <c r="G31" s="888"/>
      <c r="H31" s="1165" t="s">
        <v>2964</v>
      </c>
      <c r="I31" s="1020">
        <v>480</v>
      </c>
      <c r="J31" s="888"/>
    </row>
    <row r="32" spans="2:10">
      <c r="B32" s="1165" t="s">
        <v>2944</v>
      </c>
      <c r="C32" s="1020">
        <v>450</v>
      </c>
      <c r="D32" s="888"/>
      <c r="H32" s="1165" t="s">
        <v>2965</v>
      </c>
      <c r="I32" s="1020">
        <v>520</v>
      </c>
      <c r="J32" s="888"/>
    </row>
    <row r="33" spans="2:10" ht="13.5" thickBot="1">
      <c r="B33" s="1166" t="s">
        <v>2954</v>
      </c>
      <c r="C33" s="1167">
        <v>540</v>
      </c>
      <c r="D33" s="888"/>
      <c r="H33" s="1166" t="s">
        <v>2966</v>
      </c>
      <c r="I33" s="1167">
        <v>560</v>
      </c>
      <c r="J33" s="888"/>
    </row>
    <row r="34" spans="2:10">
      <c r="J34" s="888"/>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1095</v>
      </c>
      <c r="E1" s="15" t="s">
        <v>1096</v>
      </c>
      <c r="F1" s="389"/>
      <c r="G1" s="1297" t="s">
        <v>3057</v>
      </c>
      <c r="H1" s="1298">
        <f>ohhit</f>
        <v>0.97956097560975608</v>
      </c>
      <c r="I1" s="1299">
        <f>H1/H2*3*0.2*cpot*'Damage Calc'!$Q$39</f>
        <v>2.61904200675243</v>
      </c>
      <c r="N1" s="87" t="s">
        <v>786</v>
      </c>
      <c r="O1" s="88">
        <f>bcpdodge+bcpmiss</f>
        <v>2.0000000000000004E-2</v>
      </c>
      <c r="P1" s="88">
        <f>bfindodge+bfinmiss</f>
        <v>0</v>
      </c>
      <c r="Q1" s="88"/>
      <c r="R1" s="88"/>
      <c r="S1" s="88"/>
      <c r="T1" s="88"/>
      <c r="U1" s="89"/>
      <c r="V1" s="1173"/>
      <c r="W1" s="1174"/>
      <c r="X1" s="1175" t="s">
        <v>1537</v>
      </c>
      <c r="Y1" s="1175" t="s">
        <v>1753</v>
      </c>
      <c r="Z1" s="1174"/>
      <c r="AA1" s="1174"/>
      <c r="AB1" s="1176"/>
    </row>
    <row r="2" spans="2:31">
      <c r="B2" s="15" t="s">
        <v>2008</v>
      </c>
      <c r="C2" s="1303">
        <f>IF(dm4p,Optimize!C30,0)</f>
        <v>0</v>
      </c>
      <c r="D2" s="1303">
        <f>IF(dm4p,Optimize!C35,0)</f>
        <v>0</v>
      </c>
      <c r="E2" s="1303">
        <f>IF(dm4p,Optimize!C40,0)</f>
        <v>0</v>
      </c>
      <c r="F2" s="389"/>
      <c r="G2" s="1300" t="s">
        <v>3058</v>
      </c>
      <c r="H2" s="1301">
        <f>ohspd</f>
        <v>1.4</v>
      </c>
      <c r="I2" s="1302"/>
      <c r="N2" s="32" t="s">
        <v>787</v>
      </c>
      <c r="O2" s="90">
        <f>Q2*(O1/(1-O1))+P2</f>
        <v>40.163265306122447</v>
      </c>
      <c r="P2" s="33">
        <f>IF(Talents!O28="Yes", 45-impSS, IF(instatk="V",20+ohspd*10-cpot*3*0.2,IF(mhtype="dagger",60,IF(hemo,35,45-impSS))))</f>
        <v>40</v>
      </c>
      <c r="Q2" s="33">
        <f>ROUNDUP(P2*0.2, 0)</f>
        <v>8</v>
      </c>
      <c r="R2" s="33" t="s">
        <v>570</v>
      </c>
      <c r="S2" s="33">
        <v>180</v>
      </c>
      <c r="T2" s="33"/>
      <c r="U2" s="91"/>
      <c r="V2" s="1177" t="s">
        <v>1538</v>
      </c>
      <c r="W2" s="1178"/>
      <c r="X2" s="1179">
        <f>IF(allowrupt,IF(AND(poison,allowenv),MAX(AG56:AG284),MAX(AG56:AG150,AG234:AG284)),IF(AND(poison,allowenv),MAX(AG198:AG284),MAX(AG234:AG284)))</f>
        <v>566.12396308928703</v>
      </c>
      <c r="Y2" s="1179"/>
      <c r="Z2" s="1180">
        <f>MATCH(X2,AG55:AG284,0)+60</f>
        <v>77</v>
      </c>
      <c r="AA2" s="1178" t="s">
        <v>1539</v>
      </c>
      <c r="AB2" s="1181"/>
      <c r="AC2" s="108"/>
      <c r="AD2" s="27"/>
      <c r="AE2" s="390"/>
    </row>
    <row r="3" spans="2:31">
      <c r="B3" s="15" t="s">
        <v>2009</v>
      </c>
      <c r="C3" s="1303">
        <f>IF(dm4p,Optimize!C31,0)</f>
        <v>0</v>
      </c>
      <c r="D3" s="1303">
        <f>IF(dm4p,Optimize!C36,0)</f>
        <v>0</v>
      </c>
      <c r="E3" s="1303">
        <f>IF(dm4p,Optimize!C41,0)</f>
        <v>0</v>
      </c>
      <c r="F3" s="389"/>
      <c r="I3" s="44" t="s">
        <v>2254</v>
      </c>
      <c r="J3" s="44" t="s">
        <v>2255</v>
      </c>
      <c r="K3" t="s">
        <v>571</v>
      </c>
      <c r="L3" t="s">
        <v>572</v>
      </c>
      <c r="N3" s="32" t="s">
        <v>3024</v>
      </c>
      <c r="O3" s="33">
        <f>P3*(P1/(1-P1))*(1-Qrec)+P3</f>
        <v>25</v>
      </c>
      <c r="P3" s="33">
        <f>25</f>
        <v>25</v>
      </c>
      <c r="Q3" s="33"/>
      <c r="R3" s="33" t="s">
        <v>573</v>
      </c>
      <c r="S3" s="33">
        <f>(60+180)/2</f>
        <v>120</v>
      </c>
      <c r="T3" s="92">
        <f>1-P1-T4</f>
        <v>0.78196727643189079</v>
      </c>
      <c r="U3" s="93">
        <f>T3/T5</f>
        <v>0.78196727643189079</v>
      </c>
      <c r="V3" s="1177" t="s">
        <v>1541</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1542</v>
      </c>
      <c r="AB3" s="1181"/>
      <c r="AC3" s="110"/>
      <c r="AD3" s="96"/>
      <c r="AE3" s="391"/>
    </row>
    <row r="4" spans="2:31">
      <c r="B4" s="15" t="s">
        <v>2010</v>
      </c>
      <c r="C4" s="1303">
        <f>IF(dm4p,Optimize!C32,0)</f>
        <v>0</v>
      </c>
      <c r="D4" s="1303">
        <f>IF(dm4p,Optimize!C37,0)</f>
        <v>0</v>
      </c>
      <c r="E4" s="1303">
        <f>IF(dm4p,Optimize!C42,0)</f>
        <v>0</v>
      </c>
      <c r="F4" s="393"/>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575</v>
      </c>
      <c r="O4" s="33">
        <f>P4*(P1/(1-P1))*(1-Qrec)+P4</f>
        <v>35</v>
      </c>
      <c r="P4" s="33">
        <f>35-as4p*10</f>
        <v>35</v>
      </c>
      <c r="Q4" s="33"/>
      <c r="R4" s="33" t="s">
        <v>576</v>
      </c>
      <c r="S4" s="33">
        <f>185+40*dm2p</f>
        <v>185</v>
      </c>
      <c r="T4" s="92">
        <f>fincrit</f>
        <v>0.21803272356810921</v>
      </c>
      <c r="U4" s="93">
        <f>T4/T5</f>
        <v>0.21803272356810921</v>
      </c>
      <c r="V4" s="1177" t="s">
        <v>1544</v>
      </c>
      <c r="W4" s="1178"/>
      <c r="X4" s="1182">
        <f>VLOOKUP($X$2,CHOOSE({1,2},AG56:AG284,D56:D284),2,FALSE)/VLOOKUP($X$2,CHOOSE({1,2},AG56:AG284,Q56:Q284),2,FALSE)</f>
        <v>6.2135506262640652E-2</v>
      </c>
      <c r="Y4" s="1182">
        <f>IF($W$15&gt;1, X4/$W$15, X4)</f>
        <v>6.2135506262640652E-2</v>
      </c>
      <c r="Z4" s="1179"/>
      <c r="AA4" s="1178" t="s">
        <v>1545</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2011</v>
      </c>
      <c r="C5" s="1303">
        <f>IF(dm4p,Optimize!C33,0)</f>
        <v>0</v>
      </c>
      <c r="D5" s="1303">
        <f>IF(dm4p,Optimize!C38,0)</f>
        <v>0</v>
      </c>
      <c r="E5" s="1303">
        <f>IF(dm4p,Optimize!C43,0)</f>
        <v>0</v>
      </c>
      <c r="F5" s="393"/>
      <c r="G5" s="27" t="s">
        <v>3001</v>
      </c>
      <c r="I5" s="95">
        <f>25</f>
        <v>25</v>
      </c>
      <c r="J5" s="86"/>
      <c r="N5" s="32" t="s">
        <v>577</v>
      </c>
      <c r="O5" s="33">
        <f>1*(1+(ievis*0.05))*(1+(agg*0.02))</f>
        <v>1.06</v>
      </c>
      <c r="P5" s="90">
        <f>(1*U3+2*U4)</f>
        <v>1.2180327235681092</v>
      </c>
      <c r="Q5" s="33"/>
      <c r="R5" s="33" t="s">
        <v>578</v>
      </c>
      <c r="S5" s="90">
        <f>(ohavg+ap/APtoDPS*OHnorm)*(instactualhit+(1+((leth*0.06+2)-1)*(cfact-1))*instactualcrit)*(1+sa*0.1)*(0.5+0.05*dws)+avipdam</f>
        <v>836.54594007521439</v>
      </c>
      <c r="T5" s="92">
        <f>T4+T3</f>
        <v>1</v>
      </c>
      <c r="U5" s="91"/>
      <c r="V5" s="1177" t="s">
        <v>1546</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2012</v>
      </c>
      <c r="C6" s="1303">
        <f>IF(dm4p,Optimize!C34,0)</f>
        <v>0</v>
      </c>
      <c r="D6" s="1303">
        <f>IF(dm4p,Optimize!C39,0)</f>
        <v>0</v>
      </c>
      <c r="E6" s="1303">
        <f>IF(dm4p,Optimize!C44,0)</f>
        <v>0</v>
      </c>
      <c r="F6" s="393"/>
      <c r="G6" t="s">
        <v>579</v>
      </c>
      <c r="J6" s="86"/>
      <c r="K6" t="s">
        <v>580</v>
      </c>
      <c r="L6" t="str">
        <f>IF(Talents!O28="Yes", "SS", IF(AND(Talents!$O$29="Yes",ohtemp="Instant Poison VII"),"V",IF(mhtype="dagger",IF(AND(ohtype="dagger",mutilate=1),"Mut","BS"),IF(hemo,"HEMO","SS"))))</f>
        <v>SS</v>
      </c>
      <c r="N6" s="32" t="s">
        <v>581</v>
      </c>
      <c r="O6" s="90">
        <f>mhdps+ohdps</f>
        <v>796.46746752105105</v>
      </c>
      <c r="P6" s="33"/>
      <c r="Q6" s="33"/>
      <c r="R6" s="33" t="s">
        <v>582</v>
      </c>
      <c r="S6" s="90">
        <f>(1.5+talSCallInstBon)*(MHavg+ap/APtoDPS*MHnorm+170)*(instactualhit+(1+((leth*0.06+2)-1)*(cfact-1))*instactualcrit)*(1+sa*0.1+0.04*opp+0.02*agg+Slayer4value-1)</f>
        <v>2057.4573835135416</v>
      </c>
      <c r="T6" s="92">
        <f>insthit</f>
        <v>0.76632793090325291</v>
      </c>
      <c r="U6" s="93">
        <f>T6/T8</f>
        <v>0.78196727643189079</v>
      </c>
      <c r="V6" s="1177" t="s">
        <v>1547</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1548</v>
      </c>
      <c r="AB6" s="1181"/>
      <c r="AC6" s="108"/>
      <c r="AD6" s="27"/>
    </row>
    <row r="7" spans="2:31">
      <c r="B7" s="17" t="s">
        <v>2014</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1264.4451346815633</v>
      </c>
      <c r="P7" s="90">
        <f>O7/O2</f>
        <v>31.482627845221852</v>
      </c>
      <c r="Q7" s="33" t="s">
        <v>584</v>
      </c>
      <c r="R7" s="33" t="s">
        <v>585</v>
      </c>
      <c r="S7" s="90">
        <f>(MHavg+ap/APtoDPS*MHnorm+98)*(instactualhit+(1+((leth*0.06+2)-1)*(cfact-1))*instactualcrit)*(1+sa*0.1+0.02*agg+Slayer4value-1)</f>
        <v>1264.4451346815633</v>
      </c>
      <c r="T7" s="92">
        <f>instcrit</f>
        <v>0.21367206909674702</v>
      </c>
      <c r="U7" s="93">
        <f>T7/T8</f>
        <v>0.21803272356810921</v>
      </c>
      <c r="V7" s="1177" t="s">
        <v>1549</v>
      </c>
      <c r="W7" s="1178"/>
      <c r="X7" s="1179">
        <f>VLOOKUP($X$2,CHOOSE({1,2},AG56:AG284,AA56:AA284),2,FALSE)</f>
        <v>1756.4321729029607</v>
      </c>
      <c r="Y7" s="1179"/>
      <c r="Z7" s="1183">
        <f>IF(time=0, VLOOKUP($X$2,CHOOSE({1,2},AG56:AG284,W56:W284),2,FALSE), MIN(VLOOKUP($X$2,CHOOSE({1,2},AG56:AG284,W56:W284),2,FALSE),MIN(1,1-$T$49/time)))</f>
        <v>0</v>
      </c>
      <c r="AA7" s="1178" t="s">
        <v>3029</v>
      </c>
      <c r="AB7" s="1181"/>
      <c r="AC7" s="108"/>
      <c r="AD7" s="27"/>
    </row>
    <row r="8" spans="2:31">
      <c r="B8" s="392"/>
      <c r="C8" s="393"/>
      <c r="D8" s="389"/>
      <c r="E8" s="393"/>
      <c r="F8" s="393"/>
      <c r="G8" t="s">
        <v>320</v>
      </c>
      <c r="H8">
        <f>eec</f>
        <v>12.435708673419096</v>
      </c>
      <c r="I8" s="86"/>
      <c r="J8" s="86"/>
      <c r="N8" s="32"/>
      <c r="O8" s="98"/>
      <c r="P8" s="33"/>
      <c r="Q8" s="33"/>
      <c r="R8" s="33" t="s">
        <v>586</v>
      </c>
      <c r="S8" s="90">
        <f>Slayer4value*(MHavg+ap/APtoDPS*MHnorm)*(1.1+talSCallInstBon)*(instactualhit+(1+((leth*0.06+2)-1)*(cfact-1))*instactualcrit)+420*(1+raidcrit)*debuffon</f>
        <v>1585.6876942482338</v>
      </c>
      <c r="T8" s="92">
        <f>T6+T7</f>
        <v>0.98</v>
      </c>
      <c r="U8" s="91"/>
      <c r="V8" s="1184" t="s">
        <v>1550</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587</v>
      </c>
      <c r="S9" s="90">
        <f>((MHavg+ap/APtoDPS*MHspd)*1.25)*(instactualhit+(1+((leth*0.06+2)-1)*(cfact-1))*instactualcrit)</f>
        <v>1277.5618382144733</v>
      </c>
      <c r="T9" s="33"/>
      <c r="U9" s="91"/>
      <c r="V9" s="1177" t="s">
        <v>1551</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839</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840</v>
      </c>
      <c r="O11" s="33"/>
      <c r="P11" s="33"/>
      <c r="Q11" s="33"/>
      <c r="R11" s="33"/>
      <c r="S11" s="33"/>
      <c r="T11" s="33"/>
      <c r="U11" s="91"/>
      <c r="V11" s="1190" t="s">
        <v>316</v>
      </c>
      <c r="W11" s="1182">
        <f>VLOOKUP($X$2,CHOOSE({1,2},AG56:AG284,F56:F284),2,FALSE)/VLOOKUP($X$2,CHOOSE({1,2},AG56:AG284,Q56:Q284),2,FALSE)</f>
        <v>0</v>
      </c>
      <c r="X11" s="1182">
        <f>IF($W$15&gt;1, W11/$W$15, W11)</f>
        <v>0</v>
      </c>
      <c r="Y11" s="1191"/>
      <c r="Z11" s="1191" t="s">
        <v>1540</v>
      </c>
      <c r="AA11" s="1191">
        <f>VLOOKUP($X$2,CHOOSE({1,2},AG56:AG284,H56:H284),2,FALSE)</f>
        <v>2</v>
      </c>
      <c r="AB11" s="1191"/>
      <c r="AC11" s="108"/>
      <c r="AD11" s="27"/>
      <c r="AE11" s="396"/>
    </row>
    <row r="12" spans="2:31">
      <c r="B12" s="17" t="s">
        <v>420</v>
      </c>
      <c r="C12" s="312" t="s">
        <v>923</v>
      </c>
      <c r="D12" s="312" t="s">
        <v>125</v>
      </c>
      <c r="E12" s="312" t="s">
        <v>814</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1543</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1027</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69" t="s">
        <v>319</v>
      </c>
      <c r="I14" s="1570"/>
      <c r="J14" s="1285">
        <v>1</v>
      </c>
      <c r="K14" s="1286">
        <v>2</v>
      </c>
      <c r="L14" s="1286">
        <v>3</v>
      </c>
      <c r="M14" s="1286">
        <v>4</v>
      </c>
      <c r="N14" s="1287">
        <v>5</v>
      </c>
      <c r="O14" s="394"/>
      <c r="P14" s="394"/>
      <c r="Q14" s="394"/>
      <c r="R14" s="97"/>
      <c r="V14" s="1190" t="s">
        <v>3022</v>
      </c>
      <c r="W14" s="1182">
        <f>VLOOKUP($X$2,CHOOSE({1,2},AG56:AG284,G56:G284),2,FALSE)/VLOOKUP($X$2,CHOOSE({1,2},AG56:AG284,Q56:Q284),2,FALSE)</f>
        <v>0</v>
      </c>
      <c r="X14" s="1182">
        <f>IF($W$15&gt;1, W14/$W$15, W14)</f>
        <v>0</v>
      </c>
      <c r="Y14" s="1191"/>
      <c r="Z14" s="1191" t="s">
        <v>3199</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67" t="s">
        <v>323</v>
      </c>
      <c r="I15" s="156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3021</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75"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54"/>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55"/>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71" t="s">
        <v>329</v>
      </c>
      <c r="I20" s="1571"/>
      <c r="J20" s="1571"/>
      <c r="K20" s="1571"/>
      <c r="L20" s="1571"/>
      <c r="M20" s="1571"/>
      <c r="N20" s="1571"/>
      <c r="P20" s="1571" t="s">
        <v>330</v>
      </c>
      <c r="Q20" s="1571"/>
      <c r="R20" s="1571"/>
      <c r="S20" s="1571"/>
      <c r="T20" s="1571"/>
      <c r="U20" s="1571"/>
      <c r="V20" s="1571"/>
      <c r="AE20" s="197"/>
    </row>
    <row r="21" spans="2:31" ht="18" customHeight="1">
      <c r="B21" s="207" t="s">
        <v>128</v>
      </c>
      <c r="C21">
        <v>2</v>
      </c>
      <c r="D21" s="402" t="s">
        <v>322</v>
      </c>
      <c r="E21" s="397">
        <f>$O$4-(5*relent*C21)-(35*E3)</f>
        <v>25</v>
      </c>
      <c r="F21" s="397">
        <f>(($S$3+$S$4*C21+ap*0.03*C21)*$O$5+IF(AND(Hemorrhage=1,OR(Talents!O25="No",instatk&lt;&gt;"HEMO")),42*HDebuff,0))*$K$4*$P$5</f>
        <v>650.4045836705352</v>
      </c>
      <c r="H21" s="1572"/>
      <c r="I21" s="1572"/>
      <c r="J21" s="1572"/>
      <c r="K21" s="1572"/>
      <c r="L21" s="1572"/>
      <c r="M21" s="1572"/>
      <c r="N21" s="1572"/>
      <c r="P21" s="1572"/>
      <c r="Q21" s="1572"/>
      <c r="R21" s="1572"/>
      <c r="S21" s="1572"/>
      <c r="T21" s="1572"/>
      <c r="U21" s="1572"/>
      <c r="V21" s="1572"/>
      <c r="AE21" s="197"/>
    </row>
    <row r="22" spans="2:31">
      <c r="B22" s="207" t="s">
        <v>128</v>
      </c>
      <c r="C22">
        <v>3</v>
      </c>
      <c r="D22" s="402" t="s">
        <v>322</v>
      </c>
      <c r="E22" s="397">
        <f>$O$4-(5*relent*C22)-(35*E4)</f>
        <v>20</v>
      </c>
      <c r="F22" s="397">
        <f>(($S$3+$S$4*C22+ap*0.03*C22)*$O$5+IF(AND(Hemorrhage=1,OR(Talents!O25="No",instatk&lt;&gt;"HEMO")),42*HDebuff,0))*$K$4*$P$5</f>
        <v>918.14286015580331</v>
      </c>
      <c r="G22" s="398"/>
      <c r="H22" s="1565" t="s">
        <v>319</v>
      </c>
      <c r="I22" s="1566"/>
      <c r="J22" s="1288">
        <v>1</v>
      </c>
      <c r="K22" s="1289">
        <v>2</v>
      </c>
      <c r="L22" s="1289">
        <v>3</v>
      </c>
      <c r="M22" s="1289">
        <v>4</v>
      </c>
      <c r="N22" s="1290">
        <v>5</v>
      </c>
      <c r="P22" s="1565" t="s">
        <v>319</v>
      </c>
      <c r="Q22" s="1566"/>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73" t="s">
        <v>331</v>
      </c>
      <c r="I23" s="1574"/>
      <c r="J23" s="1193"/>
      <c r="K23" s="1194"/>
      <c r="L23" s="1194"/>
      <c r="M23" s="1194"/>
      <c r="N23" s="1195"/>
      <c r="P23" s="1576" t="s">
        <v>331</v>
      </c>
      <c r="Q23" s="1577"/>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923</v>
      </c>
      <c r="I24" s="1197" t="s">
        <v>2299</v>
      </c>
      <c r="J24" s="1198"/>
      <c r="K24" s="1105"/>
      <c r="L24" s="1105"/>
      <c r="M24" s="1105"/>
      <c r="N24" s="1199"/>
      <c r="P24" s="1234" t="s">
        <v>923</v>
      </c>
      <c r="Q24" s="1235" t="s">
        <v>2299</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1348</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1348</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1348</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1348</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1348</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78" t="s">
        <v>323</v>
      </c>
      <c r="Q36" s="1579"/>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75"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54"/>
      <c r="Q38" s="1304" t="s">
        <v>327</v>
      </c>
      <c r="R38" s="1241">
        <f>R27+R28</f>
        <v>0.39999999999999991</v>
      </c>
      <c r="S38" s="1242">
        <f>S29</f>
        <v>0.60000000000000009</v>
      </c>
      <c r="T38" s="1242">
        <f>T30+T32</f>
        <v>0.39999999999999991</v>
      </c>
      <c r="U38" s="1242">
        <f>U31+U33</f>
        <v>0.60000000000000009</v>
      </c>
      <c r="V38" s="1271">
        <v>0</v>
      </c>
    </row>
    <row r="39" spans="2:31" ht="13.5" thickBot="1">
      <c r="B39" s="411" t="s">
        <v>3147</v>
      </c>
      <c r="C39" s="400"/>
      <c r="D39" s="400"/>
      <c r="E39" s="400"/>
      <c r="F39" s="400"/>
      <c r="H39" s="1200">
        <v>4</v>
      </c>
      <c r="I39" s="1201">
        <v>4</v>
      </c>
      <c r="J39" s="1218">
        <v>0</v>
      </c>
      <c r="K39" s="1223">
        <v>0</v>
      </c>
      <c r="L39" s="1223">
        <v>0</v>
      </c>
      <c r="M39" s="1217">
        <f>M36*(1-$Q$46)</f>
        <v>0.39999999999999991</v>
      </c>
      <c r="N39" s="1204">
        <f>N36*(1-$Q$46)</f>
        <v>0.39999999999999991</v>
      </c>
      <c r="P39" s="1555"/>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56" t="s">
        <v>323</v>
      </c>
      <c r="I43" s="155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54"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54"/>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55"/>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3142</v>
      </c>
      <c r="S48" s="904" t="s">
        <v>3143</v>
      </c>
      <c r="T48" s="904" t="s">
        <v>3144</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1137</v>
      </c>
      <c r="M51" s="1562" t="s">
        <v>3106</v>
      </c>
      <c r="N51" s="1562"/>
    </row>
    <row r="52" spans="2:43" ht="30">
      <c r="B52" s="1367" t="s">
        <v>338</v>
      </c>
      <c r="C52" s="1367"/>
      <c r="D52" s="1367"/>
      <c r="E52" s="1367"/>
      <c r="F52" s="1367"/>
      <c r="G52" s="1367"/>
      <c r="H52" s="1367"/>
      <c r="I52" s="1368" t="s">
        <v>1538</v>
      </c>
      <c r="J52" s="1369">
        <f>'Damage Calc'!$J$16</f>
        <v>1548.8183523690223</v>
      </c>
      <c r="K52" s="1368"/>
      <c r="L52" s="1370">
        <f>'Gear &amp; Buffs'!$C$7</f>
        <v>1548.8183523690223</v>
      </c>
      <c r="M52" s="1561" t="str">
        <f>ROUNDUP(J52-L52,2)&amp;" ("&amp;ROUNDUP((J52-L52)/J52,2)&amp;"%)"</f>
        <v>0 (0%)</v>
      </c>
      <c r="N52" s="1561"/>
    </row>
    <row r="53" spans="2:43">
      <c r="B53" s="1563" t="s">
        <v>1025</v>
      </c>
      <c r="C53" s="1559" t="s">
        <v>339</v>
      </c>
      <c r="D53" s="1559"/>
      <c r="E53" s="1559"/>
      <c r="F53" s="1559"/>
      <c r="G53" s="1559"/>
      <c r="H53" s="1559"/>
      <c r="I53" s="420" t="s">
        <v>340</v>
      </c>
      <c r="J53" s="1559" t="s">
        <v>341</v>
      </c>
      <c r="K53" s="1559"/>
      <c r="L53" s="1559"/>
      <c r="M53" s="421" t="s">
        <v>923</v>
      </c>
      <c r="N53" s="1559" t="s">
        <v>342</v>
      </c>
      <c r="O53" s="1559"/>
      <c r="P53" s="1559"/>
      <c r="Q53" s="1559"/>
      <c r="R53" s="1559" t="s">
        <v>3028</v>
      </c>
      <c r="S53" s="1559"/>
      <c r="T53" s="1559"/>
      <c r="U53" s="1559" t="s">
        <v>343</v>
      </c>
      <c r="V53" s="1559"/>
      <c r="W53" s="1559"/>
      <c r="X53" s="419" t="s">
        <v>321</v>
      </c>
      <c r="Y53" s="1559" t="s">
        <v>318</v>
      </c>
      <c r="Z53" s="1559"/>
      <c r="AA53" s="1559"/>
      <c r="AB53" s="1559"/>
      <c r="AC53" s="1559"/>
      <c r="AD53" s="1559"/>
      <c r="AE53" s="1559"/>
      <c r="AF53" s="1559"/>
      <c r="AG53" s="1560" t="s">
        <v>1538</v>
      </c>
      <c r="AH53" s="1564" t="s">
        <v>344</v>
      </c>
      <c r="AI53" s="1564"/>
      <c r="AJ53" s="1564"/>
      <c r="AK53" s="1558" t="s">
        <v>345</v>
      </c>
      <c r="AP53">
        <v>1</v>
      </c>
      <c r="AQ53" s="905" t="s">
        <v>3034</v>
      </c>
    </row>
    <row r="54" spans="2:43">
      <c r="B54" s="1563"/>
      <c r="C54" s="422" t="s">
        <v>126</v>
      </c>
      <c r="D54" s="422" t="s">
        <v>346</v>
      </c>
      <c r="E54" s="422" t="s">
        <v>347</v>
      </c>
      <c r="F54" s="422" t="s">
        <v>348</v>
      </c>
      <c r="G54" s="1375" t="s">
        <v>332</v>
      </c>
      <c r="H54" s="424" t="s">
        <v>1895</v>
      </c>
      <c r="I54" s="425" t="s">
        <v>1895</v>
      </c>
      <c r="J54" s="422" t="s">
        <v>2299</v>
      </c>
      <c r="K54" s="422" t="s">
        <v>1013</v>
      </c>
      <c r="L54" s="424" t="s">
        <v>1895</v>
      </c>
      <c r="M54" s="426" t="s">
        <v>1895</v>
      </c>
      <c r="N54" s="422" t="s">
        <v>126</v>
      </c>
      <c r="O54" s="422" t="s">
        <v>1189</v>
      </c>
      <c r="P54" s="1375" t="s">
        <v>332</v>
      </c>
      <c r="Q54" s="427" t="s">
        <v>1025</v>
      </c>
      <c r="R54" s="428" t="s">
        <v>126</v>
      </c>
      <c r="S54" s="428" t="s">
        <v>1189</v>
      </c>
      <c r="T54" s="1375" t="s">
        <v>332</v>
      </c>
      <c r="U54" s="428" t="s">
        <v>126</v>
      </c>
      <c r="V54" s="428" t="s">
        <v>1189</v>
      </c>
      <c r="W54" s="1375" t="s">
        <v>332</v>
      </c>
      <c r="X54" s="424"/>
      <c r="Y54" s="422" t="s">
        <v>2299</v>
      </c>
      <c r="Z54" s="422" t="s">
        <v>126</v>
      </c>
      <c r="AA54" s="422" t="s">
        <v>346</v>
      </c>
      <c r="AB54" s="422" t="s">
        <v>347</v>
      </c>
      <c r="AC54" s="422" t="s">
        <v>348</v>
      </c>
      <c r="AD54" s="423" t="s">
        <v>332</v>
      </c>
      <c r="AE54" s="422" t="s">
        <v>2058</v>
      </c>
      <c r="AF54" s="424" t="s">
        <v>1895</v>
      </c>
      <c r="AG54" s="1560"/>
      <c r="AH54" s="422" t="s">
        <v>126</v>
      </c>
      <c r="AI54" s="422" t="s">
        <v>346</v>
      </c>
      <c r="AJ54" s="1375" t="s">
        <v>332</v>
      </c>
      <c r="AK54" s="155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2257</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1772</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1773</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1774</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1775</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1776</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1777</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1778</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1779</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1780</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1781</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1782</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1783</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1784</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1785</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1786</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1787</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1788</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1789</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1790</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1791</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1792</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1793</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1794</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1795</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1796</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1797</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1798</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1799</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1800</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1801</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1802</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1803</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1804</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1805</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1806</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1807</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1808</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1809</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1810</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1811</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1812</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1813</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1814</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1815</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1816</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1817</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1818</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1819</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1820</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1821</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1822</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1823</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1824</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1825</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1826</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1827</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1828</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1829</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1830</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1831</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1832</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1833</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2185</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2186</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2187</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2188</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2189</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2190</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2191</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2192</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2193</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2194</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2195</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2196</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2197</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2198</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2199</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2200</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2201</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2202</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1835</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1836</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1837</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1838</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1839</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1840</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509</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1904</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1841</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1842</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1843</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1905</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1844</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1845</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1846</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1847</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514</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515</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516</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517</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510</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511</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512</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513</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2256</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1848</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1849</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1850</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508</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730</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507</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506</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729</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3182</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3183</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3184</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3185</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3186</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3187</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3188</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3189</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3190</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3191</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1666</v>
      </c>
      <c r="B1" s="1152" t="s">
        <v>1660</v>
      </c>
      <c r="C1" s="1152" t="s">
        <v>3037</v>
      </c>
      <c r="D1" s="1152"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1661</v>
      </c>
      <c r="B1" s="587" t="s">
        <v>878</v>
      </c>
      <c r="C1" s="587" t="s">
        <v>532</v>
      </c>
      <c r="D1" s="587" t="s">
        <v>533</v>
      </c>
      <c r="E1" s="587" t="s">
        <v>534</v>
      </c>
      <c r="F1" s="588" t="s">
        <v>2328</v>
      </c>
      <c r="G1" s="1371" t="s">
        <v>3150</v>
      </c>
    </row>
    <row r="2" spans="1:7">
      <c r="A2" s="6" t="s">
        <v>1938</v>
      </c>
      <c r="B2" s="371">
        <v>0.29170504818160159</v>
      </c>
      <c r="C2" s="371">
        <v>0.30902309031775205</v>
      </c>
      <c r="D2" s="371">
        <f>10/(20+1/('Damage Calc'!I80*'Damage Calc'!L80))</f>
        <v>0.30902309031775205</v>
      </c>
      <c r="E2" s="120">
        <f>IF(OR(trinket1="Dragonspine Trophy",trinket2="Dragonspine Trophy"),325*(D2-itDSTup)*dpsHaste,0)</f>
        <v>0</v>
      </c>
      <c r="F2" s="6" t="s">
        <v>2307</v>
      </c>
      <c r="G2" s="504" t="s">
        <v>3151</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2308</v>
      </c>
      <c r="G3" s="504" t="s">
        <v>3149</v>
      </c>
    </row>
    <row r="4" spans="1:7">
      <c r="A4" s="6" t="s">
        <v>991</v>
      </c>
      <c r="B4" s="371">
        <v>0.40234326580194024</v>
      </c>
      <c r="C4" s="371">
        <v>0.40511784417923696</v>
      </c>
      <c r="D4" s="371">
        <f>20/(45+1/('Damage Calc'!K47*10%))</f>
        <v>0.40511784417923696</v>
      </c>
      <c r="E4" s="120">
        <f>IF(OR(trinket1="Shard of Contempt",trinket2="Shard of Contempt"),230*(D4-itSoCup)*dpsAP,0)</f>
        <v>0</v>
      </c>
      <c r="F4" s="6" t="s">
        <v>2309</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2311</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2312</v>
      </c>
      <c r="G6" s="504" t="s">
        <v>3154</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2308</v>
      </c>
      <c r="G7" s="504" t="s">
        <v>3152</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2308</v>
      </c>
      <c r="G8" s="504" t="s">
        <v>3153</v>
      </c>
    </row>
    <row r="9" spans="1:7">
      <c r="A9" s="6" t="s">
        <v>1928</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2308</v>
      </c>
      <c r="G9" s="504"/>
    </row>
    <row r="10" spans="1:7">
      <c r="A10" s="6" t="s">
        <v>1929</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2308</v>
      </c>
      <c r="G10" s="504" t="s">
        <v>3148</v>
      </c>
    </row>
    <row r="11" spans="1:7" ht="12" thickBot="1">
      <c r="A11" s="6" t="s">
        <v>1930</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2308</v>
      </c>
      <c r="G11" s="505"/>
    </row>
    <row r="12" spans="1:7">
      <c r="A12" s="6" t="s">
        <v>1720</v>
      </c>
      <c r="B12" s="371">
        <v>0.15286968379242344</v>
      </c>
      <c r="C12" s="371">
        <v>0.14602269986939131</v>
      </c>
      <c r="D12" s="371">
        <f>10/(50+1/('Damage Calc'!K58*10%))</f>
        <v>0.14602269986939131</v>
      </c>
      <c r="E12" s="120">
        <f>IF(OR(trinket1="Hourglass of the Unraveller",trinket2="Hourglass of the Unraveller"),300*(D12-itHGup)*dpsAP,0)</f>
        <v>0</v>
      </c>
      <c r="F12" s="6" t="s">
        <v>2878</v>
      </c>
    </row>
    <row r="13" spans="1:7">
      <c r="A13" s="6" t="s">
        <v>524</v>
      </c>
      <c r="B13" s="371">
        <v>0.20773092034110976</v>
      </c>
      <c r="C13" s="371">
        <v>0.20871495942358367</v>
      </c>
      <c r="D13" s="371">
        <f>10/(45+1/('Damage Calc'!K47*15%))</f>
        <v>0.20871495942358367</v>
      </c>
      <c r="E13" s="120">
        <f>IF(Neck="Shattered Sun Pendant of Might (Aldor)",200*(D13-itSSPMAup)*dpsAP,0)</f>
        <v>0</v>
      </c>
      <c r="F13" s="6" t="s">
        <v>2874</v>
      </c>
    </row>
    <row r="14" spans="1:7">
      <c r="A14" s="6" t="s">
        <v>2313</v>
      </c>
      <c r="B14" s="217">
        <v>48.139198457212096</v>
      </c>
      <c r="C14" s="217">
        <v>47.912234118806786</v>
      </c>
      <c r="D14" s="217">
        <f>(45+1/('Damage Calc'!K47*15%))</f>
        <v>47.912234118806786</v>
      </c>
      <c r="E14" s="120">
        <v>0</v>
      </c>
      <c r="F14" s="6" t="s">
        <v>2874</v>
      </c>
    </row>
    <row r="15" spans="1:7">
      <c r="A15" s="6" t="s">
        <v>526</v>
      </c>
      <c r="B15" s="371">
        <v>0.20773092034110976</v>
      </c>
      <c r="C15" s="371">
        <v>0.20871495942358367</v>
      </c>
      <c r="D15" s="371">
        <f>10/(45+1/('Damage Calc'!K47*15%))</f>
        <v>0.20871495942358367</v>
      </c>
      <c r="E15" s="120">
        <v>0</v>
      </c>
      <c r="F15" s="6" t="s">
        <v>2874</v>
      </c>
    </row>
    <row r="16" spans="1:7">
      <c r="A16" s="6" t="s">
        <v>525</v>
      </c>
      <c r="B16" s="371">
        <v>0.20773092034110976</v>
      </c>
      <c r="C16" s="371">
        <v>0.20871495942358367</v>
      </c>
      <c r="D16" s="371">
        <f>10/(45+1/('Damage Calc'!K47*15%))</f>
        <v>0.20871495942358367</v>
      </c>
      <c r="E16" s="120">
        <f>IF(Neck="Shattered Sun Pendant of Resolve (Scryer)",100*(D16-itSSPRSup)*dpsExp,0)</f>
        <v>0</v>
      </c>
      <c r="F16" s="6" t="s">
        <v>2874</v>
      </c>
    </row>
    <row r="17" spans="1:6">
      <c r="A17" s="6" t="s">
        <v>1134</v>
      </c>
      <c r="B17" s="371">
        <v>0.52329256506102406</v>
      </c>
      <c r="C17" s="371">
        <v>0.56902948800672781</v>
      </c>
      <c r="D17" s="371">
        <f>1-(1-'Damage Calc'!L48)^(15*'Damage Calc'!I48)-IF(time=0,0,(1-'Damage Calc'!L48)^(15*'Damage Calc'!I48)*0.5*15/time)</f>
        <v>0.56902948800672781</v>
      </c>
      <c r="E17" s="120">
        <f>IF('Gear &amp; Buffs'!B11="Crusader",60*(D17-enCrMHup)*dpsStr,0)</f>
        <v>0</v>
      </c>
      <c r="F17" s="6" t="s">
        <v>2308</v>
      </c>
    </row>
    <row r="18" spans="1:6">
      <c r="A18" s="6" t="s">
        <v>1135</v>
      </c>
      <c r="B18" s="371">
        <v>0.29969713673447618</v>
      </c>
      <c r="C18" s="371">
        <v>0.31396701321178316</v>
      </c>
      <c r="D18" s="371">
        <f>1-(1-'Damage Calc'!L49)^(15*'Damage Calc'!I49)-IF(time=0,0,(1-'Damage Calc'!L49)^(15*'Damage Calc'!I49)*0.5*15/time)</f>
        <v>0.31396701321178316</v>
      </c>
      <c r="E18" s="120">
        <f>IF('Gear &amp; Buffs'!B17="Crusader",60*(D18-enCrOHup)*dpsStr,0)</f>
        <v>0</v>
      </c>
      <c r="F18" s="6" t="s">
        <v>2308</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2060</v>
      </c>
      <c r="B22" s="371">
        <v>0.25646610678141257</v>
      </c>
      <c r="C22" s="371">
        <v>0.28581479372015589</v>
      </c>
      <c r="D22" s="371">
        <f>1-(1-'Damage Calc'!L48)^(6*'Damage Calc'!I48)-IF(time=0,0,(1-'Damage Calc'!L48)^(6*'Damage Calc'!I48)*0.5*6/time)</f>
        <v>0.28581479372015589</v>
      </c>
      <c r="E22" s="120">
        <v>0</v>
      </c>
      <c r="F22" s="6" t="s">
        <v>2308</v>
      </c>
    </row>
    <row r="23" spans="1:6">
      <c r="A23" s="6" t="s">
        <v>2061</v>
      </c>
      <c r="B23" s="371">
        <v>0.13280980102516837</v>
      </c>
      <c r="C23" s="371">
        <v>0.14130375871058107</v>
      </c>
      <c r="D23" s="371">
        <f>1-(1-'Damage Calc'!L49)^(6*'Damage Calc'!I49)-IF(time=0,0,(1-'Damage Calc'!L48)^(6*'Damage Calc'!I48)*0.5*6/time)</f>
        <v>0.14130375871058107</v>
      </c>
      <c r="E23" s="120">
        <v>0</v>
      </c>
      <c r="F23" s="6" t="s">
        <v>2308</v>
      </c>
    </row>
    <row r="24" spans="1:6">
      <c r="A24" s="6" t="s">
        <v>2062</v>
      </c>
      <c r="B24" s="371">
        <v>0.35478080629916287</v>
      </c>
      <c r="C24" s="371">
        <v>0.39027144934557584</v>
      </c>
      <c r="D24" s="371">
        <f>1-(1-'Damage Calc'!L47)^(6*'Damage Calc'!I47)-IF(time=0,0,(1-'Damage Calc'!L48)^(6*'Damage Calc'!I48)*0.5*6/time)</f>
        <v>0.39027144934557584</v>
      </c>
      <c r="E24" s="120">
        <v>0</v>
      </c>
      <c r="F24" s="6" t="s">
        <v>2308</v>
      </c>
    </row>
    <row r="25" spans="1:6">
      <c r="A25" s="6" t="s">
        <v>2064</v>
      </c>
      <c r="B25" s="371">
        <v>4.8388681306019823E-2</v>
      </c>
      <c r="C25" s="371">
        <v>5.6524395587759318E-2</v>
      </c>
      <c r="D25" s="371">
        <f>'Damage Calc'!L48*'Damage Calc'!I48</f>
        <v>5.6524395587759318E-2</v>
      </c>
      <c r="E25" s="120">
        <v>0</v>
      </c>
      <c r="F25" s="6" t="s">
        <v>2308</v>
      </c>
    </row>
    <row r="26" spans="1:6">
      <c r="A26" s="6" t="s">
        <v>2065</v>
      </c>
      <c r="B26" s="371">
        <v>2.349719128761122E-2</v>
      </c>
      <c r="C26" s="371">
        <v>2.6461054408222058E-2</v>
      </c>
      <c r="D26" s="371">
        <f>'Damage Calc'!L49*'Damage Calc'!I49</f>
        <v>2.6461054408222058E-2</v>
      </c>
      <c r="E26" s="120">
        <v>0</v>
      </c>
      <c r="F26" s="6" t="s">
        <v>2308</v>
      </c>
    </row>
    <row r="27" spans="1:6">
      <c r="A27" s="6" t="s">
        <v>1674</v>
      </c>
      <c r="B27" s="371">
        <v>0.16890115759854415</v>
      </c>
      <c r="C27" s="371">
        <v>0.17454689480808019</v>
      </c>
      <c r="D27" s="371">
        <f>10/(45+1/('Damage Calc'!I89*'Damage Calc'!L89))</f>
        <v>0.17454689480808019</v>
      </c>
      <c r="E27" s="120">
        <f>IF(SetTB2p, 450*(D27-stTwinUP)*dpsHaste, 0)</f>
        <v>0</v>
      </c>
      <c r="F27" s="6" t="s">
        <v>1675</v>
      </c>
    </row>
    <row r="28" spans="1:6">
      <c r="A28" s="6" t="s">
        <v>2005</v>
      </c>
      <c r="B28" s="371">
        <v>0.40234326580194024</v>
      </c>
      <c r="C28" s="371">
        <v>0.40511784417923696</v>
      </c>
      <c r="D28" s="371">
        <f>20/(45+1/('Damage Calc'!K47*10%))</f>
        <v>0.40511784417923696</v>
      </c>
      <c r="E28" s="120">
        <f>IF(OR(trinket1="Blackened Naaru Sliver",trinket2="Blackened Naaru Sliver"),(D29*D28-C29*C28)*dpsAP,0)</f>
        <v>0</v>
      </c>
      <c r="F28" s="6" t="s">
        <v>2309</v>
      </c>
    </row>
    <row r="29" spans="1:6">
      <c r="A29" s="6" t="s">
        <v>2006</v>
      </c>
      <c r="B29" s="217">
        <v>393.38290291040045</v>
      </c>
      <c r="C29" s="217">
        <v>399.40051069466335</v>
      </c>
      <c r="D29" s="217">
        <f>Trinket!AG43</f>
        <v>399.40051069466335</v>
      </c>
      <c r="E29" s="120"/>
    </row>
    <row r="30" spans="1:6">
      <c r="A30" s="6" t="s">
        <v>1089</v>
      </c>
      <c r="B30" s="371">
        <v>2.1214511306480888E-2</v>
      </c>
      <c r="C30" s="371">
        <v>2.3641261578057793E-2</v>
      </c>
      <c r="D30" s="371">
        <f>1-(1-'Damage Calc'!L47)^(MIN((Cycles!J15*Cycles!O2+25-5*relent-25*dm4p1)/Cycles!C7,20)/'Damage Calc'!J47)</f>
        <v>2.3641261578057793E-2</v>
      </c>
      <c r="E30" s="120"/>
    </row>
    <row r="31" spans="1:6">
      <c r="A31" s="6" t="s">
        <v>1080</v>
      </c>
      <c r="B31" s="371">
        <v>4.1778695251399434E-2</v>
      </c>
      <c r="C31" s="371">
        <v>4.6523637028424325E-2</v>
      </c>
      <c r="D31" s="371">
        <f>1-(1-'Damage Calc'!L47)^(MIN((Cycles!K15*Cycles!O2+25-10*relent-25*dm4p1)/Cycles!C7,20)/'Damage Calc'!J47)</f>
        <v>4.6523637028424325E-2</v>
      </c>
      <c r="E31" s="120"/>
    </row>
    <row r="32" spans="1:6">
      <c r="A32" s="6" t="s">
        <v>1081</v>
      </c>
      <c r="B32" s="371">
        <v>6.1910827775240151E-2</v>
      </c>
      <c r="C32" s="371">
        <v>6.8869731001863665E-2</v>
      </c>
      <c r="D32" s="371">
        <f>1-(1-'Damage Calc'!L47)^(MIN((Cycles!L15*Cycles!O2+25-15*relent-25*dm4p1)/Cycles!C7,20)/'Damage Calc'!J47)</f>
        <v>6.8869731001863665E-2</v>
      </c>
      <c r="E32" s="120"/>
    </row>
    <row r="33" spans="1:6">
      <c r="A33" s="6" t="s">
        <v>1082</v>
      </c>
      <c r="B33" s="371">
        <v>8.1619986234583441E-2</v>
      </c>
      <c r="C33" s="371">
        <v>9.0692112028383787E-2</v>
      </c>
      <c r="D33" s="371">
        <f>1-(1-'Damage Calc'!L47)^(MIN((Cycles!M15*Cycles!O2+25-20*relent-25*dm4p1)/Cycles!C7,20)/'Damage Calc'!J47)</f>
        <v>9.0692112028383787E-2</v>
      </c>
      <c r="E33" s="120"/>
    </row>
    <row r="34" spans="1:6">
      <c r="A34" s="6" t="s">
        <v>1083</v>
      </c>
      <c r="B34" s="371">
        <v>0.10091505727166783</v>
      </c>
      <c r="C34" s="371">
        <v>0.11200305407636113</v>
      </c>
      <c r="D34" s="371">
        <f>1-(1-'Damage Calc'!L47)^(MIN((Cycles!N15*Cycles!O2+25-25*relent-25*dm4p1)/Cycles!C7,20)/'Damage Calc'!J47)</f>
        <v>0.11200305407636113</v>
      </c>
      <c r="E34" s="120"/>
    </row>
    <row r="35" spans="1:6">
      <c r="A35" s="6" t="s">
        <v>1084</v>
      </c>
      <c r="B35" s="371">
        <v>2.1214511306480888E-2</v>
      </c>
      <c r="C35" s="371">
        <v>2.3641261578057793E-2</v>
      </c>
      <c r="D35" s="371">
        <f>1-(1-'Damage Calc'!L47)^(MIN((Cycles!J15*Cycles!O2+Cycles!O3-5*relent-25*dm4p1)/Cycles!C7,20)/'Damage Calc'!J47)</f>
        <v>2.3641261578057793E-2</v>
      </c>
      <c r="E35" s="120"/>
    </row>
    <row r="36" spans="1:6">
      <c r="A36" s="6" t="s">
        <v>1085</v>
      </c>
      <c r="B36" s="371">
        <v>4.1778695251399434E-2</v>
      </c>
      <c r="C36" s="371">
        <v>4.6523637028424325E-2</v>
      </c>
      <c r="D36" s="371">
        <f>1-(1-'Damage Calc'!L47)^(MIN((Cycles!K15*Cycles!O2+Cycles!O3-10*relent-25*dm4p1)/Cycles!C7,20)/'Damage Calc'!J47)</f>
        <v>4.6523637028424325E-2</v>
      </c>
      <c r="E36" s="120"/>
    </row>
    <row r="37" spans="1:6">
      <c r="A37" s="6" t="s">
        <v>1086</v>
      </c>
      <c r="B37" s="371">
        <v>6.1910827775240151E-2</v>
      </c>
      <c r="C37" s="371">
        <v>6.8869731001863665E-2</v>
      </c>
      <c r="D37" s="371">
        <f>1-(1-'Damage Calc'!L47)^(MIN((Cycles!L15*Cycles!O2+Cycles!O3-15*relent-25*dm4p1)/Cycles!C7,20)/'Damage Calc'!J47)</f>
        <v>6.8869731001863665E-2</v>
      </c>
      <c r="E37" s="120"/>
    </row>
    <row r="38" spans="1:6">
      <c r="A38" s="6" t="s">
        <v>1087</v>
      </c>
      <c r="B38" s="371">
        <v>8.1619986234583441E-2</v>
      </c>
      <c r="C38" s="371">
        <v>9.0692112028383787E-2</v>
      </c>
      <c r="D38" s="371">
        <f>1-(1-'Damage Calc'!L47)^(MIN((Cycles!M15*Cycles!O2+Cycles!O3-20*relent-25*dm4p1)/Cycles!C7,20)/'Damage Calc'!J47)</f>
        <v>9.0692112028383787E-2</v>
      </c>
      <c r="E38" s="120"/>
    </row>
    <row r="39" spans="1:6">
      <c r="A39" s="6" t="s">
        <v>1088</v>
      </c>
      <c r="B39" s="371">
        <v>0.10091505727166783</v>
      </c>
      <c r="C39" s="371">
        <v>0.11200305407636113</v>
      </c>
      <c r="D39" s="371">
        <f>1-(1-'Damage Calc'!L47)^(MIN((Cycles!N15*Cycles!O2+Cycles!O3-25*relent-25*dm4p1)/Cycles!C7,20)/'Damage Calc'!J47)</f>
        <v>0.11200305407636113</v>
      </c>
      <c r="E39" s="120"/>
    </row>
    <row r="40" spans="1:6">
      <c r="A40" s="6" t="s">
        <v>1094</v>
      </c>
      <c r="B40" s="371">
        <v>2.7100225771663156E-2</v>
      </c>
      <c r="C40" s="371">
        <v>3.0204040508042151E-2</v>
      </c>
      <c r="D40" s="371">
        <f>1-(1-'Damage Calc'!L47)^(MIN((Cycles!J15*Cycles!O2+Cycles!O4-5*relent-25*dm4p1)/Cycles!C7,20)/'Damage Calc'!J47)</f>
        <v>3.0204040508042151E-2</v>
      </c>
      <c r="E40" s="120"/>
    </row>
    <row r="41" spans="1:6">
      <c r="A41" s="6" t="s">
        <v>1090</v>
      </c>
      <c r="B41" s="371">
        <v>4.7540751452020746E-2</v>
      </c>
      <c r="C41" s="371">
        <v>5.2932607767255058E-2</v>
      </c>
      <c r="D41" s="371">
        <f>1-(1-'Damage Calc'!L47)^(MIN((Cycles!K15*Cycles!O2+Cycles!O4-10*relent-25*dm4p1)/Cycles!C7,20)/'Damage Calc'!J47)</f>
        <v>5.2932607767255058E-2</v>
      </c>
      <c r="E41" s="120"/>
    </row>
    <row r="42" spans="1:6">
      <c r="A42" s="6" t="s">
        <v>1091</v>
      </c>
      <c r="B42" s="371">
        <v>6.7551823758909557E-2</v>
      </c>
      <c r="C42" s="371">
        <v>7.5128498266371802E-2</v>
      </c>
      <c r="D42" s="371">
        <f>1-(1-'Damage Calc'!L47)^(MIN((Cycles!L15*Cycles!O2+Cycles!O4-15*relent-25*dm4p1)/Cycles!C7,20)/'Damage Calc'!J47)</f>
        <v>7.5128498266371802E-2</v>
      </c>
      <c r="E42" s="120"/>
    </row>
    <row r="43" spans="1:6">
      <c r="A43" s="6" t="s">
        <v>1092</v>
      </c>
      <c r="B43" s="371">
        <v>8.7142465464193131E-2</v>
      </c>
      <c r="C43" s="371">
        <v>9.6804196053661196E-2</v>
      </c>
      <c r="D43" s="371">
        <f>1-(1-'Damage Calc'!L47)^(MIN((Cycles!M15*Cycles!O2+Cycles!O4-20*relent-25*dm4p1)/Cycles!C7,20)/'Damage Calc'!J47)</f>
        <v>9.6804196053661196E-2</v>
      </c>
      <c r="E43" s="120"/>
    </row>
    <row r="44" spans="1:6">
      <c r="A44" s="6" t="s">
        <v>1093</v>
      </c>
      <c r="B44" s="371">
        <v>0.10632150977221233</v>
      </c>
      <c r="C44" s="371">
        <v>0.1179718925957125</v>
      </c>
      <c r="D44" s="371">
        <f>1-(1-'Damage Calc'!L47)^(MIN((Cycles!N15*Cycles!O2+Cycles!O4-25*relent-25*dm4p1)/Cycles!C7,20)/'Damage Calc'!J47)</f>
        <v>0.1179718925957125</v>
      </c>
      <c r="E44" s="120"/>
    </row>
    <row r="45" spans="1:6">
      <c r="A45" s="6" t="s">
        <v>2235</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3012</v>
      </c>
      <c r="B46" s="217">
        <v>11.16661876292765</v>
      </c>
      <c r="C46" s="217">
        <v>13.044091289482918</v>
      </c>
      <c r="D46" s="217">
        <f>10*'Damage Calc'!K48</f>
        <v>13.044091289482918</v>
      </c>
      <c r="E46" s="120"/>
      <c r="F46" s="6" t="s">
        <v>3010</v>
      </c>
    </row>
    <row r="47" spans="1:6">
      <c r="A47" s="6" t="s">
        <v>3011</v>
      </c>
      <c r="B47" s="217">
        <v>10.070224837547666</v>
      </c>
      <c r="C47" s="217">
        <v>11.340451889238023</v>
      </c>
      <c r="D47" s="217">
        <f>10*'Damage Calc'!K49</f>
        <v>11.340451889238023</v>
      </c>
      <c r="E47" s="120"/>
      <c r="F47" s="6" t="s">
        <v>3010</v>
      </c>
    </row>
    <row r="48" spans="1:6">
      <c r="A48" s="6" t="s">
        <v>3014</v>
      </c>
      <c r="B48" s="371">
        <v>0.15209062457841166</v>
      </c>
      <c r="C48" s="371">
        <v>0.1593400530367651</v>
      </c>
      <c r="D48" s="371">
        <f>10/(45+1/('Damage Calc'!I107*'Damage Calc'!L107))</f>
        <v>0.1593400530367651</v>
      </c>
      <c r="E48" s="120">
        <f>IF(mh="The Bladefist", 180*(D48-itTBFup)*dpsHaste, 0)</f>
        <v>0</v>
      </c>
      <c r="F48" s="6" t="s">
        <v>1675</v>
      </c>
    </row>
    <row r="49" spans="1:6">
      <c r="A49" s="6" t="s">
        <v>2238</v>
      </c>
      <c r="B49" s="371">
        <v>0.38975913970519804</v>
      </c>
      <c r="C49" s="371">
        <v>0.42940532870484138</v>
      </c>
      <c r="D49" s="371">
        <f>1-(1-'Damage Calc'!$L$48)^(10*'Damage Calc'!$I$48)-IF(time=0,0,(1-'Damage Calc'!$L$48)^(10*'Damage Calc'!$I$48)*0.5*10/time)</f>
        <v>0.42940532870484138</v>
      </c>
      <c r="E49" s="120">
        <f>IF(mh="Heartrazor",270*(D49-itHRmhUP)*dpsAP,0)</f>
        <v>0</v>
      </c>
      <c r="F49" s="6" t="s">
        <v>2308</v>
      </c>
    </row>
    <row r="50" spans="1:6">
      <c r="A50" s="6" t="s">
        <v>2239</v>
      </c>
      <c r="B50" s="371">
        <v>0.2113991006769228</v>
      </c>
      <c r="C50" s="371">
        <v>0.22209599625490814</v>
      </c>
      <c r="D50" s="371">
        <f>1-(1-'Damage Calc'!$L$49)^(10*'Damage Calc'!$I$49)-IF(time=0,0,(1-'Damage Calc'!$L$49)^(10*'Damage Calc'!$I$49)*0.5*10/time)</f>
        <v>0.22209599625490814</v>
      </c>
      <c r="E50" s="120">
        <f>IF(mh="Heartrazor",270*(D50-itHRohUP)*dpsAP,0)</f>
        <v>0</v>
      </c>
      <c r="F50" s="6" t="s">
        <v>2308</v>
      </c>
    </row>
    <row r="51" spans="1:6">
      <c r="A51" s="6" t="s">
        <v>3017</v>
      </c>
      <c r="B51" s="371">
        <v>0.38975913970519804</v>
      </c>
      <c r="C51" s="371">
        <v>0.42940532870484138</v>
      </c>
      <c r="D51" s="371">
        <f>1-(1-'Damage Calc'!$L$48)^(10*'Damage Calc'!$I$48)-IF(time=0,0,(1-'Damage Calc'!$L$48)^(10*'Damage Calc'!$I$48)*0.5*10/time)</f>
        <v>0.42940532870484138</v>
      </c>
      <c r="E51" s="120"/>
      <c r="F51" s="6" t="s">
        <v>2308</v>
      </c>
    </row>
    <row r="52" spans="1:6">
      <c r="A52" s="6" t="s">
        <v>3016</v>
      </c>
      <c r="B52" s="371">
        <v>0.2113991006769228</v>
      </c>
      <c r="C52" s="371">
        <v>0.22209599625490814</v>
      </c>
      <c r="D52" s="371">
        <f>1-(1-'Damage Calc'!$L$49)^(10*'Damage Calc'!$I$49)-IF(time=0,0,(1-'Damage Calc'!$L$49)^(10*'Damage Calc'!$I$49)*0.5*10/time)</f>
        <v>0.22209599625490814</v>
      </c>
      <c r="E52" s="120"/>
      <c r="F52" s="6" t="s">
        <v>2308</v>
      </c>
    </row>
    <row r="53" spans="1:6">
      <c r="A53" s="6" t="s">
        <v>2412</v>
      </c>
      <c r="B53" s="217">
        <v>0.44805233509221709</v>
      </c>
      <c r="C53" s="217">
        <v>0.33125428041355692</v>
      </c>
      <c r="D53" s="217">
        <f>5*instsec*instcrit</f>
        <v>0.33125428041355692</v>
      </c>
      <c r="E53" s="120"/>
    </row>
    <row r="54" spans="1:6">
      <c r="A54" s="6" t="s">
        <v>2877</v>
      </c>
      <c r="B54" s="371">
        <v>0.31102727206362035</v>
      </c>
      <c r="C54" s="371">
        <v>0.333563410569305</v>
      </c>
      <c r="D54" s="371">
        <f>'Damage Calc'!L47*(15-IF(CharLevel&gt;60,(CharLevel-60)*0.5,0))</f>
        <v>0.333563410569305</v>
      </c>
      <c r="E54" s="120"/>
      <c r="F54" s="6" t="s">
        <v>2979</v>
      </c>
    </row>
    <row r="55" spans="1:6">
      <c r="A55" s="6" t="s">
        <v>2860</v>
      </c>
      <c r="B55" s="217">
        <v>63.710530801425953</v>
      </c>
      <c r="C55" s="217">
        <v>68.675797288559011</v>
      </c>
      <c r="D55" s="217">
        <f>30*'Damage Calc'!K47</f>
        <v>68.675797288559011</v>
      </c>
      <c r="E55" s="120"/>
      <c r="F55" s="6" t="s">
        <v>2979</v>
      </c>
    </row>
    <row r="56" spans="1:6">
      <c r="A56" s="6" t="s">
        <v>2873</v>
      </c>
      <c r="B56" s="371">
        <v>0.11108414712726833</v>
      </c>
      <c r="C56" s="371">
        <v>0.11508819422971754</v>
      </c>
      <c r="D56" s="371">
        <f>6/(40+1/('Damage Calc'!I98*'Damage Calc'!L98))</f>
        <v>0.11508819422971754</v>
      </c>
      <c r="E56" s="120"/>
      <c r="F56" s="6" t="s">
        <v>2875</v>
      </c>
    </row>
    <row r="57" spans="1:6">
      <c r="A57" s="6" t="s">
        <v>2880</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2881</v>
      </c>
    </row>
    <row r="58" spans="1:6">
      <c r="A58" s="6" t="s">
        <v>3042</v>
      </c>
      <c r="B58" s="371">
        <v>0.47458276748102635</v>
      </c>
      <c r="C58" s="371">
        <v>0.4877927258898237</v>
      </c>
      <c r="D58" s="371">
        <f>1-(1-0.02)^(15*'Damage Calc'!K47)-IF(time=0,0,(1-0.02)^(15*'Damage Calc'!K47)*0.5*15/time)</f>
        <v>0.4877927258898237</v>
      </c>
      <c r="E58" s="120">
        <f>IF(ww4p, 160*(D58-C58)*dpsAP, 0)</f>
        <v>0</v>
      </c>
      <c r="F58" s="6" t="s">
        <v>3040</v>
      </c>
    </row>
    <row r="59" spans="1:6">
      <c r="A59" s="6" t="s">
        <v>3127</v>
      </c>
      <c r="B59" s="217">
        <v>120</v>
      </c>
      <c r="C59" s="217">
        <v>118.4416357640376</v>
      </c>
      <c r="D59" s="217">
        <f>Trinket!BA48</f>
        <v>118.4416357640376</v>
      </c>
      <c r="E59" s="120"/>
    </row>
    <row r="60" spans="1:6">
      <c r="A60" s="6" t="s">
        <v>3129</v>
      </c>
      <c r="B60" s="371">
        <v>1.2500000000000001E-2</v>
      </c>
      <c r="C60" s="371">
        <v>1.2155373839052276E-2</v>
      </c>
      <c r="D60" s="371">
        <f>2%*IF(CharLevel&gt;60,(CharLevel-60)*2/30,0)*(1-2%)^(2*'Damage Calc'!K47)</f>
        <v>1.2155373839052276E-2</v>
      </c>
      <c r="E60" s="120"/>
    </row>
    <row r="61" spans="1:6">
      <c r="A61" s="6" t="s">
        <v>3031</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1272</v>
      </c>
      <c r="C1" s="521" t="s">
        <v>742</v>
      </c>
      <c r="D1" s="522" t="s">
        <v>1573</v>
      </c>
      <c r="E1" s="522" t="s">
        <v>1574</v>
      </c>
      <c r="F1" s="520" t="s">
        <v>269</v>
      </c>
      <c r="G1" s="521" t="s">
        <v>267</v>
      </c>
      <c r="H1" s="522" t="s">
        <v>268</v>
      </c>
      <c r="I1" s="520" t="s">
        <v>1575</v>
      </c>
      <c r="J1" s="522" t="s">
        <v>1576</v>
      </c>
      <c r="L1" s="67"/>
      <c r="O1" s="67" t="s">
        <v>1577</v>
      </c>
    </row>
    <row r="2" spans="1:21">
      <c r="A2" s="523" t="s">
        <v>1578</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1579</v>
      </c>
      <c r="Q2" s="68">
        <f>BaseMissPerc</f>
        <v>0.27</v>
      </c>
      <c r="R2" s="203"/>
      <c r="T2" s="27" t="s">
        <v>3098</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2" t="s">
        <v>1197</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3007</v>
      </c>
      <c r="M4" s="68">
        <f>IF(time=0, 1-(Q43/(467.5*CharLevel+Q43-22167.5)), 'Cooldowns Calc'!AA1)</f>
        <v>0.74178816089934863</v>
      </c>
      <c r="O4" s="489" t="s">
        <v>397</v>
      </c>
      <c r="P4" s="68"/>
      <c r="Q4" s="68">
        <f>BaseParPerc</f>
        <v>0.14000000000000001</v>
      </c>
      <c r="T4" s="27" t="s">
        <v>3092</v>
      </c>
      <c r="U4" s="107">
        <f>14*conv</f>
        <v>22.076923076923077</v>
      </c>
    </row>
    <row r="5" spans="1:21">
      <c r="A5" s="523" t="s">
        <v>1439</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1181</v>
      </c>
      <c r="Q5" s="68">
        <f>BaseGlanPerc</f>
        <v>0.24</v>
      </c>
      <c r="T5" s="27" t="s">
        <v>3093</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1183</v>
      </c>
      <c r="O6" s="66" t="s">
        <v>1182</v>
      </c>
      <c r="Q6" s="69">
        <f>OHDamFact</f>
        <v>0.75</v>
      </c>
      <c r="T6" s="27" t="s">
        <v>3094</v>
      </c>
      <c r="U6" s="105">
        <f>12*conv</f>
        <v>18.923076923076923</v>
      </c>
    </row>
    <row r="7" spans="1:21" ht="13.5" thickBot="1">
      <c r="A7" s="541" t="s">
        <v>1200</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1188</v>
      </c>
      <c r="M8" s="72">
        <f>'Gear &amp; Buffs'!E6</f>
        <v>0.21803272356810921</v>
      </c>
      <c r="O8" s="66" t="s">
        <v>850</v>
      </c>
      <c r="Q8" s="73">
        <f>FLOOR(dskill/skillrate,1)+IF(AND('Gear &amp; Buffs'!B74="Human",OR(mhtype="Sword",mhtype="Mace")),5,0)</f>
        <v>18</v>
      </c>
      <c r="T8" s="27" t="s">
        <v>3095</v>
      </c>
      <c r="U8" s="107">
        <f>1.5*conv</f>
        <v>2.3653846153846154</v>
      </c>
    </row>
    <row r="9" spans="1:21">
      <c r="A9" s="547" t="s">
        <v>1185</v>
      </c>
      <c r="B9" s="548"/>
      <c r="C9" s="549"/>
      <c r="D9" s="550"/>
      <c r="E9" s="551"/>
      <c r="F9" s="552"/>
      <c r="G9" s="553"/>
      <c r="H9" s="554"/>
      <c r="I9" s="555">
        <f>Cycles!$Y$10*bGlobDam*(1+DDmult)</f>
        <v>0</v>
      </c>
      <c r="J9" s="556">
        <f t="shared" ref="J9:J10" si="1">I9*armor</f>
        <v>0</v>
      </c>
      <c r="K9" s="109"/>
      <c r="L9" s="66" t="s">
        <v>1190</v>
      </c>
      <c r="M9" s="74">
        <f>ap</f>
        <v>3151.8007204290034</v>
      </c>
      <c r="O9" s="66" t="s">
        <v>851</v>
      </c>
      <c r="Q9" s="73">
        <f>FLOOR(dskill/skillrate,1)+IF(AND('Gear &amp; Buffs'!B74="Human",OR(ohtype="Sword",ohtype="Mace")),5,0)</f>
        <v>18</v>
      </c>
      <c r="T9" s="66" t="s">
        <v>3099</v>
      </c>
      <c r="U9" s="107">
        <f>127/13570*CharLevel^2-1583/13570*CharLevel+3131/1357</f>
        <v>40</v>
      </c>
    </row>
    <row r="10" spans="1:21">
      <c r="A10" s="547" t="s">
        <v>1187</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1191</v>
      </c>
      <c r="Q10" s="66">
        <f>BaseGlanFact</f>
        <v>0.75</v>
      </c>
      <c r="T10" s="160" t="s">
        <v>3097</v>
      </c>
      <c r="U10" s="1336">
        <f>IF(CharLevel*5-BossLevel*5&lt;0, 0.2%, 0.04%)</f>
        <v>2E-3</v>
      </c>
    </row>
    <row r="11" spans="1:21">
      <c r="A11" s="547" t="s">
        <v>1189</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1193</v>
      </c>
      <c r="M11" s="75">
        <f>MHavg</f>
        <v>211</v>
      </c>
      <c r="O11" s="66" t="s">
        <v>1194</v>
      </c>
      <c r="Q11" s="66">
        <f>BaseGlanFact</f>
        <v>0.75</v>
      </c>
    </row>
    <row r="12" spans="1:21" ht="12.75" customHeight="1" thickBot="1">
      <c r="A12" s="577" t="s">
        <v>1192</v>
      </c>
      <c r="B12" s="578"/>
      <c r="C12" s="579"/>
      <c r="D12" s="580"/>
      <c r="E12" s="580">
        <f>envdmg</f>
        <v>0</v>
      </c>
      <c r="F12" s="581"/>
      <c r="G12" s="582"/>
      <c r="H12" s="583"/>
      <c r="I12" s="584">
        <f>E12*envsec*bGlobDam*(1+DDmult)*(IF(AND(NOT(IF(Talents!$O$27="Instants",1,0)),Q18&gt;0),1+Talents!I37*20%/(30*Q18),1))</f>
        <v>0</v>
      </c>
      <c r="J12" s="585">
        <f>I12</f>
        <v>0</v>
      </c>
      <c r="K12" s="109"/>
      <c r="L12" s="66" t="s">
        <v>1196</v>
      </c>
      <c r="M12" s="66">
        <f>MHspd</f>
        <v>2.6</v>
      </c>
      <c r="O12" s="66" t="s">
        <v>1197</v>
      </c>
      <c r="Q12" s="68">
        <f>(IF(mhtype="Sword",talSwSpcFac,0)+IF(mh="blinkstrike",0.02,0))</f>
        <v>7.0000000000000007E-2</v>
      </c>
      <c r="R12" s="899">
        <f>(1-B19-B20)*Q12</f>
        <v>6.8569268292682936E-2</v>
      </c>
      <c r="T12" s="66" t="s">
        <v>3100</v>
      </c>
      <c r="U12" s="1337">
        <f>1-MAX(4%+(BossLevel-CharLevel)*1%+MAX((BossLevel-CharLevel-2)*10%,0%),1%)</f>
        <v>0.83</v>
      </c>
    </row>
    <row r="13" spans="1:21">
      <c r="A13" s="506" t="s">
        <v>1195</v>
      </c>
      <c r="B13" s="563"/>
      <c r="C13" s="564"/>
      <c r="D13" s="565"/>
      <c r="E13" s="565"/>
      <c r="F13" s="342"/>
      <c r="G13" s="334"/>
      <c r="H13" s="349"/>
      <c r="I13" s="566">
        <f>('Weap Enchants'!X3+Q33)</f>
        <v>27.42962575839146</v>
      </c>
      <c r="J13" s="567">
        <f>I13</f>
        <v>27.42962575839146</v>
      </c>
      <c r="K13" s="109"/>
      <c r="L13" s="66" t="s">
        <v>1199</v>
      </c>
      <c r="M13" s="75">
        <f>ohavg</f>
        <v>100.5</v>
      </c>
      <c r="O13" s="66" t="s">
        <v>1200</v>
      </c>
      <c r="Q13" s="68">
        <f>(IF(ohtype="Sword",talSwSpcFac,0))+IF(oh="blinkstrike",0.02,0)</f>
        <v>0.05</v>
      </c>
      <c r="R13" s="899">
        <f>(1-D19-D20)*Q13</f>
        <v>4.897804878048781E-2</v>
      </c>
    </row>
    <row r="14" spans="1:21" ht="12.75" customHeight="1">
      <c r="A14" s="507" t="s">
        <v>1198</v>
      </c>
      <c r="B14" s="330"/>
      <c r="C14" s="331"/>
      <c r="D14" s="346"/>
      <c r="E14" s="346"/>
      <c r="F14" s="343"/>
      <c r="G14" s="335"/>
      <c r="H14" s="350"/>
      <c r="I14" s="347">
        <f>'Weap Enchants'!X5*tlMURfac*IF(Talents!O36="No",(1+'Gear &amp; Buffs'!B106*0.01*'Gear &amp; Buffs'!C106),1)</f>
        <v>79.672530897705457</v>
      </c>
      <c r="J14" s="508">
        <f>I14</f>
        <v>79.672530897705457</v>
      </c>
      <c r="L14" s="66" t="s">
        <v>1202</v>
      </c>
      <c r="M14" s="66">
        <f>ohspd</f>
        <v>1.4</v>
      </c>
      <c r="O14" s="76" t="s">
        <v>1203</v>
      </c>
      <c r="Q14" s="77">
        <f>bMHhsec+G3</f>
        <v>0.61063971711281662</v>
      </c>
      <c r="T14" s="66" t="s">
        <v>3101</v>
      </c>
      <c r="U14" s="1338">
        <v>0.25</v>
      </c>
    </row>
    <row r="15" spans="1:21" ht="13.5" thickBot="1">
      <c r="A15" s="511" t="s">
        <v>1201</v>
      </c>
      <c r="B15" s="332"/>
      <c r="C15" s="333"/>
      <c r="D15" s="351"/>
      <c r="E15" s="351"/>
      <c r="F15" s="352"/>
      <c r="G15" s="338"/>
      <c r="H15" s="353"/>
      <c r="I15" s="354">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09">
        <f>I15</f>
        <v>0</v>
      </c>
      <c r="Q15" s="78"/>
    </row>
    <row r="16" spans="1:21" ht="13.5" thickBot="1">
      <c r="A16" s="512" t="s">
        <v>1204</v>
      </c>
      <c r="B16" s="513"/>
      <c r="C16" s="514"/>
      <c r="D16" s="515"/>
      <c r="E16" s="515"/>
      <c r="F16" s="516"/>
      <c r="G16" s="517"/>
      <c r="H16" s="518"/>
      <c r="I16" s="1315">
        <f>SUM(I2:I15)</f>
        <v>1991.4437524963637</v>
      </c>
      <c r="J16" s="1316">
        <f>SUM(J2:J15)</f>
        <v>1548.8183523690223</v>
      </c>
      <c r="O16" s="76" t="s">
        <v>1205</v>
      </c>
      <c r="Q16" s="77">
        <f>bOHhsec+G6+G7</f>
        <v>1.1340451889238023</v>
      </c>
      <c r="T16" s="15" t="s">
        <v>3113</v>
      </c>
      <c r="U16" s="651">
        <f>IF(numPhysDps=0,0,10/35*10/(2*numPhysDps))</f>
        <v>0.14285714285714285</v>
      </c>
    </row>
    <row r="17" spans="1:21">
      <c r="O17" s="76" t="s">
        <v>2251</v>
      </c>
      <c r="Q17" s="80">
        <f>instsec</f>
        <v>0.31005856948347399</v>
      </c>
      <c r="R17" s="651">
        <f>1/Q17</f>
        <v>3.2251971028115696</v>
      </c>
    </row>
    <row r="18" spans="1:21">
      <c r="A18" s="79" t="s">
        <v>1206</v>
      </c>
      <c r="B18" s="79"/>
      <c r="C18" s="79" t="s">
        <v>419</v>
      </c>
      <c r="D18" s="79"/>
      <c r="E18" s="79" t="str">
        <f>"Hit Table - "&amp;instatklng</f>
        <v>Hit Table - Sinister Strike</v>
      </c>
      <c r="F18" s="79"/>
      <c r="G18" s="67"/>
      <c r="J18" s="339" t="s">
        <v>108</v>
      </c>
      <c r="O18" s="66" t="s">
        <v>2252</v>
      </c>
      <c r="Q18" s="78">
        <f>evisec+rupsec+envsec</f>
        <v>6.449713414720043E-2</v>
      </c>
      <c r="R18" s="651">
        <f>Q17+Q18</f>
        <v>0.37455570363067442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0.16995263328467364</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2.289193242951967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3.2251971028115696</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0.21803272356810921</v>
      </c>
      <c r="C23" s="66" t="s">
        <v>1188</v>
      </c>
      <c r="D23" s="68">
        <f>MIN((1-D19-D20-D21-D22),(M8)-IF(mhtype="dagger",Talents!$F$24/100,0)-IF(mhtype="fist",Talents!$F$29/100,0)+IF(ohtype="dagger",Talents!$F$24/100,0)+IF(ohtype="fist",Talents!$F$29/100,0))</f>
        <v>0.21803272356810921</v>
      </c>
      <c r="E23" s="66" t="s">
        <v>1188</v>
      </c>
      <c r="F23" s="72">
        <f>MIN(1,(M8+IF(instatk="bs",impBS,0)+IF(instatk="mut",impBS/2,0)))*(1-F19-F20-F21)+Q30</f>
        <v>0.21367206909674702</v>
      </c>
      <c r="H23" s="68"/>
      <c r="J23" s="66" t="s">
        <v>1188</v>
      </c>
      <c r="K23" s="68">
        <f>MIN(1,(M8))*(1-K19-K20-K21)+Q29</f>
        <v>0.21803272356810921</v>
      </c>
      <c r="L23" s="73"/>
      <c r="O23" s="66" t="s">
        <v>1751</v>
      </c>
      <c r="P23" s="70"/>
      <c r="Q23" s="70">
        <f>2*IF(AND('Gear &amp; Buffs'!B28="Relentless Earthstorm Diamond (12agi/3%crit dam)",MID('Gear &amp; Buffs'!R26,7,1)="1",Socket!S110),1.03,1)*IF(mhtype="mace",Talents!F26/100+1,1)</f>
        <v>2</v>
      </c>
      <c r="R23" s="71"/>
    </row>
    <row r="24" spans="1:21">
      <c r="A24" s="66" t="s">
        <v>1186</v>
      </c>
      <c r="B24" s="68">
        <f>(1-B19-B20-B21-B22-B23)</f>
        <v>0.52152825204164688</v>
      </c>
      <c r="C24" s="66" t="s">
        <v>1186</v>
      </c>
      <c r="D24" s="68">
        <f>(1-D19-D20-D21-D22-D23)</f>
        <v>0.52152825204164688</v>
      </c>
      <c r="E24" s="66" t="s">
        <v>1186</v>
      </c>
      <c r="F24" s="72">
        <f>(1-F19-F20-F21-F23)</f>
        <v>0.76632793090325291</v>
      </c>
      <c r="H24" s="68"/>
      <c r="J24" s="66" t="s">
        <v>1186</v>
      </c>
      <c r="K24" s="72">
        <f>(1-K19-K20-K21-K23)</f>
        <v>0.78196727643189079</v>
      </c>
      <c r="O24" s="66" t="s">
        <v>589</v>
      </c>
      <c r="Q24" s="66">
        <f>2*IF(AND('Gear &amp; Buffs'!B28="Relentless Earthstorm Diamond (12agi/3%crit dam)",MID('Gear &amp; Buffs'!R26,7,1)="1",Socket!S110),1.03,1)*IF(ohtype="mace",Talents!F26/100+1,1)</f>
        <v>2</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7" t="s">
        <v>1895</v>
      </c>
      <c r="B30" s="69">
        <f>tlMURfac*(1+Ferocious*0.01*Ferociousimp*0.94*disablebuffs)*(1+bloodfrenzy*0.02*bloodfrenzyimp*disablebuffs)*(1+'Gear &amp; Buffs'!B106*0.01*'Gear &amp; Buffs'!C106*disablebuffs)</f>
        <v>1.0608</v>
      </c>
      <c r="J30"/>
      <c r="K30" s="897"/>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1360</v>
      </c>
      <c r="Q31" s="73">
        <f>(Q14+Q19)*B23/(1-B19-B20)+Q16*D23/(1-D19-D20)+Q17*F23/(1-F20)*(IF(instatk="mut",2,1)+Q18*K23/(1-K19))</f>
        <v>0.49471759341564381</v>
      </c>
    </row>
    <row r="32" spans="1:21">
      <c r="J32"/>
      <c r="K32" s="897"/>
      <c r="Q32" s="68"/>
      <c r="R32" s="85"/>
    </row>
    <row r="33" spans="1:18">
      <c r="A33" s="355" t="s">
        <v>432</v>
      </c>
      <c r="B33" s="355"/>
      <c r="J33"/>
      <c r="K33" s="897"/>
      <c r="O33" s="66" t="s">
        <v>2253</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1364</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1.2477218198594817</v>
      </c>
    </row>
    <row r="40" spans="1:18">
      <c r="A40" s="375" t="s">
        <v>2986</v>
      </c>
      <c r="B40" s="360"/>
      <c r="C40" s="360"/>
      <c r="D40" s="361"/>
      <c r="G40" s="359" t="s">
        <v>1132</v>
      </c>
      <c r="H40" s="360"/>
      <c r="I40" s="360"/>
      <c r="J40" s="360"/>
      <c r="K40" s="360"/>
      <c r="L40" s="360" t="s">
        <v>2304</v>
      </c>
      <c r="M40" s="361"/>
      <c r="Q40" s="68"/>
    </row>
    <row r="41" spans="1:18">
      <c r="A41" s="376"/>
      <c r="B41" s="377" t="s">
        <v>2175</v>
      </c>
      <c r="C41" s="377"/>
      <c r="D41" s="378"/>
      <c r="G41" s="362"/>
      <c r="H41" s="160" t="s">
        <v>1186</v>
      </c>
      <c r="I41" s="160" t="s">
        <v>2297</v>
      </c>
      <c r="J41" s="160" t="s">
        <v>2298</v>
      </c>
      <c r="K41" s="160" t="s">
        <v>505</v>
      </c>
      <c r="L41" s="160" t="s">
        <v>2305</v>
      </c>
      <c r="M41" s="363" t="s">
        <v>2306</v>
      </c>
      <c r="O41" s="66" t="s">
        <v>1368</v>
      </c>
      <c r="Q41" s="68">
        <f>(I2+I5+I3+I6)*Q39/(I2+I5)-1</f>
        <v>0.62079064399746664</v>
      </c>
    </row>
    <row r="42" spans="1:18">
      <c r="A42" s="376" t="s">
        <v>2033</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1440</v>
      </c>
      <c r="Q42" s="26">
        <f>serrb*8*70/3+435*Weapons!$H$330+'Gear &amp; Buffs'!Q143</f>
        <v>4010</v>
      </c>
    </row>
    <row r="43" spans="1:18">
      <c r="A43" s="376" t="s">
        <v>2032</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527</v>
      </c>
      <c r="Q43" s="26">
        <f>MAX(basearmor-Q42,0)</f>
        <v>3675</v>
      </c>
    </row>
    <row r="44" spans="1:18">
      <c r="A44" s="376" t="s">
        <v>2034</v>
      </c>
      <c r="B44" s="893">
        <f>IF(itBsMH,itBsEa,0)</f>
        <v>4.3333333333333335E-2</v>
      </c>
      <c r="C44" s="380">
        <f>B44*bMHthit*(bMHasec+F3+instsec+Q18+D43+D46)</f>
        <v>4.476693815376754E-2</v>
      </c>
      <c r="D44" s="381">
        <f>$B$61</f>
        <v>5.4242866381803513E-2</v>
      </c>
      <c r="G44" s="362" t="s">
        <v>2232</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2982</v>
      </c>
      <c r="B45" s="893">
        <f>itHoJ</f>
        <v>0</v>
      </c>
      <c r="C45" s="380">
        <f>B45*bMHthit*(bMHasec+F3+instsec+Q18+D43)</f>
        <v>0</v>
      </c>
      <c r="D45" s="381">
        <f>$D$61</f>
        <v>0</v>
      </c>
      <c r="G45" s="362" t="s">
        <v>2233</v>
      </c>
      <c r="H45" s="162">
        <f>$F$25</f>
        <v>0.98</v>
      </c>
      <c r="I45" s="161">
        <f>K45/$F$25</f>
        <v>0</v>
      </c>
      <c r="J45" s="161">
        <f>IF(I45=0,0,1/I45)</f>
        <v>0</v>
      </c>
      <c r="K45" s="161">
        <f>IF(OR(instatk="v",instatk="mut"),instsec,0)</f>
        <v>0</v>
      </c>
      <c r="L45" s="162">
        <f>ohspd/60*H45</f>
        <v>2.2866666666666664E-2</v>
      </c>
      <c r="M45" s="364">
        <f>IF(I45=0,0,1/L45/I45)</f>
        <v>0</v>
      </c>
      <c r="O45" s="66" t="s">
        <v>528</v>
      </c>
      <c r="Q45" s="66">
        <f>IF(OR(trinket1="Darkmoon Card: Vengeance",trinket2="Darkmoon Card: Vengeance"),0.1*Q20*105*fullresist,0)</f>
        <v>0</v>
      </c>
      <c r="R45" s="66" t="s">
        <v>1753</v>
      </c>
    </row>
    <row r="46" spans="1:18">
      <c r="A46" s="376" t="s">
        <v>2983</v>
      </c>
      <c r="B46" s="893">
        <f>itHoJ</f>
        <v>0</v>
      </c>
      <c r="C46" s="380"/>
      <c r="D46" s="381">
        <f>$B$46*(bOHhsec+$G$6+$G$7)</f>
        <v>0</v>
      </c>
      <c r="F46" s="356"/>
      <c r="G46" s="362" t="s">
        <v>2300</v>
      </c>
      <c r="H46" s="162">
        <f>$K$25</f>
        <v>1</v>
      </c>
      <c r="I46" s="161">
        <f>K46/$K$25</f>
        <v>6.449713414720043E-2</v>
      </c>
      <c r="J46" s="161">
        <f>IF(I46=0,0,1/I46)</f>
        <v>15.504564865125966</v>
      </c>
      <c r="K46" s="161">
        <f>$Q$18</f>
        <v>6.449713414720043E-2</v>
      </c>
      <c r="L46" s="162">
        <f>MHspd/60*H46</f>
        <v>4.3333333333333335E-2</v>
      </c>
      <c r="M46" s="364">
        <f>IF(I46=0,0,1/L46/I46)</f>
        <v>357.79765073367616</v>
      </c>
      <c r="O46" s="66" t="s">
        <v>529</v>
      </c>
      <c r="Q46" s="73">
        <f>IF(mh="Syphon of the Nathrezim",IF(oh="Syphon of the Nathrezim",itSypBHup,itSypMHup),IF(oh="Syphon of the Nathrezim",itSypOHup,0))*(Q20*20)*fullresist*(1+(0.01*miseryimp)*misery)</f>
        <v>0</v>
      </c>
      <c r="R46" s="66" t="s">
        <v>1753</v>
      </c>
    </row>
    <row r="47" spans="1:18">
      <c r="A47" s="376" t="s">
        <v>521</v>
      </c>
      <c r="B47" s="379">
        <f>IF(Talents!O36="No",IF(mhtemp="Windfury",20%,0),0)</f>
        <v>0.2</v>
      </c>
      <c r="C47" s="380">
        <f>B47*bMHthit*(bMHasec+F3+D43+D46)</f>
        <v>0.13323660753904085</v>
      </c>
      <c r="D47" s="381">
        <f>$C$61</f>
        <v>0.15546286056533143</v>
      </c>
      <c r="G47" s="365" t="s">
        <v>2301</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1335</v>
      </c>
      <c r="Q47" s="651">
        <f>IF(Talents!O36="No",IF('Gear &amp; Buffs'!$B138=1,(60-IF(CharLevel&gt;60,(CharLevel-60)*2,0))*IF(time=0,1/300,totalTeaIter/time), 0),0)</f>
        <v>0.13333333333333333</v>
      </c>
      <c r="R47" s="66" t="s">
        <v>814</v>
      </c>
    </row>
    <row r="48" spans="1:18">
      <c r="A48" s="382" t="s">
        <v>1895</v>
      </c>
      <c r="B48" s="377"/>
      <c r="C48" s="377"/>
      <c r="D48" s="383">
        <f>SUM($D$42:$D$47)</f>
        <v>0.32587426015628773</v>
      </c>
      <c r="G48" s="365" t="s">
        <v>2302</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813</v>
      </c>
      <c r="Q48" s="73">
        <f>IF(mh="Rod of the Sun King",(Optimize!C25*10),IF(oh="Rod of the Sun King",(Optimize!C26*10),0))</f>
        <v>0</v>
      </c>
      <c r="R48" s="66" t="s">
        <v>814</v>
      </c>
    </row>
    <row r="49" spans="1:21">
      <c r="A49" s="376"/>
      <c r="B49" s="160"/>
      <c r="C49" s="160"/>
      <c r="D49" s="363"/>
      <c r="G49" s="365" t="s">
        <v>2303</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1336</v>
      </c>
      <c r="Q49" s="66">
        <f>IF(Talents!O36="No",IF('Gear &amp; Buffs'!$B139=1,(Q20*0.004*40),0)*IF(CoE,1.25,1)*(1+(0.01*miseryimp)*misery),0)</f>
        <v>0</v>
      </c>
      <c r="R49" s="66" t="s">
        <v>1753</v>
      </c>
    </row>
    <row r="50" spans="1:21">
      <c r="A50" s="384" t="s">
        <v>1100</v>
      </c>
      <c r="B50" s="377" t="s">
        <v>1101</v>
      </c>
      <c r="C50" s="377" t="s">
        <v>1102</v>
      </c>
      <c r="D50" s="378" t="s">
        <v>2984</v>
      </c>
      <c r="G50" s="362"/>
      <c r="H50" s="160"/>
      <c r="I50" s="160"/>
      <c r="J50" s="160"/>
      <c r="K50" s="160"/>
      <c r="L50" s="160"/>
      <c r="M50" s="363"/>
    </row>
    <row r="51" spans="1:21">
      <c r="A51" s="385">
        <f>$C$42</f>
        <v>4.8876993379073939E-2</v>
      </c>
      <c r="B51" s="386">
        <f>$C$44</f>
        <v>4.476693815376754E-2</v>
      </c>
      <c r="C51" s="386">
        <f>$C$47</f>
        <v>0.13323660753904085</v>
      </c>
      <c r="D51" s="894">
        <f>$C$45</f>
        <v>0</v>
      </c>
      <c r="G51" s="365" t="s">
        <v>1133</v>
      </c>
      <c r="H51" s="160"/>
      <c r="I51" s="160"/>
      <c r="J51" s="160"/>
      <c r="K51" s="160"/>
      <c r="L51" s="160" t="s">
        <v>2304</v>
      </c>
      <c r="M51" s="363"/>
      <c r="O51" s="66" t="s">
        <v>2410</v>
      </c>
      <c r="Q51" s="651">
        <f>IF(bs4p, Optimize!C53, 0)</f>
        <v>0</v>
      </c>
      <c r="R51" s="66" t="s">
        <v>814</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1188</v>
      </c>
      <c r="I52" s="160" t="s">
        <v>2297</v>
      </c>
      <c r="J52" s="160" t="s">
        <v>2298</v>
      </c>
      <c r="K52" s="160" t="s">
        <v>2310</v>
      </c>
      <c r="L52" s="160" t="s">
        <v>2305</v>
      </c>
      <c r="M52" s="363" t="s">
        <v>2306</v>
      </c>
      <c r="O52" s="66" t="s">
        <v>2411</v>
      </c>
      <c r="Q52" s="651">
        <f>IF(bs8p, 0.05*(D8-E8)*(5*evisec), 0)</f>
        <v>0</v>
      </c>
      <c r="R52" s="66" t="s">
        <v>1753</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2232</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2233</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2300</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2301</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2302</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2303</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2985</v>
      </c>
      <c r="H62" s="360"/>
      <c r="I62" s="360"/>
      <c r="J62" s="360"/>
      <c r="K62" s="360"/>
      <c r="L62" s="360" t="s">
        <v>2304</v>
      </c>
      <c r="M62" s="361"/>
      <c r="Q62" s="68"/>
    </row>
    <row r="63" spans="1:21">
      <c r="C63" s="355"/>
      <c r="G63" s="362"/>
      <c r="H63" s="160" t="s">
        <v>1186</v>
      </c>
      <c r="I63" s="160" t="s">
        <v>2297</v>
      </c>
      <c r="J63" s="160" t="s">
        <v>2298</v>
      </c>
      <c r="K63" s="160" t="s">
        <v>505</v>
      </c>
      <c r="L63" s="160" t="s">
        <v>2305</v>
      </c>
      <c r="M63" s="363" t="s">
        <v>2306</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2232</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2233</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2300</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2301</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2302</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2303</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867</v>
      </c>
      <c r="H73" s="360"/>
      <c r="I73" s="360"/>
      <c r="J73" s="360"/>
      <c r="K73" s="360"/>
      <c r="L73" s="360" t="s">
        <v>2304</v>
      </c>
      <c r="M73" s="361"/>
    </row>
    <row r="74" spans="1:14">
      <c r="A74" s="355"/>
      <c r="B74" s="78"/>
      <c r="C74" s="78"/>
      <c r="G74" s="362"/>
      <c r="H74" s="160" t="s">
        <v>1186</v>
      </c>
      <c r="I74" s="160" t="s">
        <v>2297</v>
      </c>
      <c r="J74" s="160" t="s">
        <v>2298</v>
      </c>
      <c r="K74" s="160" t="s">
        <v>505</v>
      </c>
      <c r="L74" s="160" t="s">
        <v>2305</v>
      </c>
      <c r="M74" s="363" t="s">
        <v>2306</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2232</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2233</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2300</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2301</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1676</v>
      </c>
      <c r="H82" s="360"/>
      <c r="I82" s="360"/>
      <c r="J82" s="360"/>
      <c r="K82" s="360"/>
      <c r="L82" s="360" t="s">
        <v>2304</v>
      </c>
      <c r="M82" s="361"/>
    </row>
    <row r="83" spans="1:14">
      <c r="A83" s="355"/>
      <c r="B83" s="78"/>
      <c r="C83" s="78"/>
      <c r="G83" s="362"/>
      <c r="H83" s="160" t="s">
        <v>1186</v>
      </c>
      <c r="I83" s="160" t="s">
        <v>2297</v>
      </c>
      <c r="J83" s="160" t="s">
        <v>2298</v>
      </c>
      <c r="K83" s="160" t="s">
        <v>505</v>
      </c>
      <c r="L83" s="160" t="s">
        <v>2305</v>
      </c>
      <c r="M83" s="363" t="s">
        <v>2306</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2232</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2233</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2300</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2301</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2876</v>
      </c>
      <c r="H91" s="360"/>
      <c r="I91" s="360"/>
      <c r="J91" s="360"/>
      <c r="K91" s="360"/>
      <c r="L91" s="360" t="s">
        <v>2304</v>
      </c>
      <c r="M91" s="361"/>
    </row>
    <row r="92" spans="1:14">
      <c r="A92" s="355"/>
      <c r="B92" s="78"/>
      <c r="C92" s="78"/>
      <c r="G92" s="362"/>
      <c r="H92" s="160" t="s">
        <v>1186</v>
      </c>
      <c r="I92" s="160" t="s">
        <v>2297</v>
      </c>
      <c r="J92" s="160" t="s">
        <v>2298</v>
      </c>
      <c r="K92" s="160" t="s">
        <v>505</v>
      </c>
      <c r="L92" s="160" t="s">
        <v>2305</v>
      </c>
      <c r="M92" s="363" t="s">
        <v>2306</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2232</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2233</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2300</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2301</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3015</v>
      </c>
      <c r="H100" s="360"/>
      <c r="I100" s="360"/>
      <c r="J100" s="360"/>
      <c r="K100" s="360"/>
      <c r="L100" s="360" t="s">
        <v>2304</v>
      </c>
      <c r="M100" s="361"/>
    </row>
    <row r="101" spans="1:14">
      <c r="A101" s="355"/>
      <c r="B101" s="78"/>
      <c r="C101" s="78"/>
      <c r="G101" s="362"/>
      <c r="H101" s="160" t="s">
        <v>1186</v>
      </c>
      <c r="I101" s="160" t="s">
        <v>2297</v>
      </c>
      <c r="J101" s="160" t="s">
        <v>2298</v>
      </c>
      <c r="K101" s="160" t="s">
        <v>505</v>
      </c>
      <c r="L101" s="160" t="s">
        <v>2305</v>
      </c>
      <c r="M101" s="363" t="s">
        <v>2306</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2232</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2233</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2300</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2302</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2917</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2918</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2919</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2921</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2848</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752</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2923</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2998</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1">
        <f>MAX(5%+0.5%*(BossLevel-CharLevel),0%)</f>
        <v>6.5000000000000002E-2</v>
      </c>
      <c r="C2" s="870"/>
    </row>
    <row r="3" spans="1:4">
      <c r="A3" s="6" t="s">
        <v>398</v>
      </c>
      <c r="B3" s="371">
        <f>MAX(5%+0.5%*(BossLevel-CharLevel)+IF((BossLevel-CharLevel)&gt;2,7.5%,0%))</f>
        <v>0.14000000000000001</v>
      </c>
    </row>
    <row r="4" spans="1:4">
      <c r="A4" s="6" t="s">
        <v>2049</v>
      </c>
      <c r="B4" s="371">
        <f>100%-MAX((BossLevel-CharLevel)*10%-5%,5%)</f>
        <v>0.75</v>
      </c>
      <c r="C4" s="324"/>
      <c r="D4" s="324"/>
    </row>
    <row r="5" spans="1:4">
      <c r="A5" s="6" t="s">
        <v>2048</v>
      </c>
      <c r="B5" s="371">
        <f>MAX((BossLevel+1-CharLevel)*6%,0%)</f>
        <v>0.24</v>
      </c>
      <c r="D5" s="324"/>
    </row>
    <row r="6" spans="1:4">
      <c r="A6" s="6" t="s">
        <v>2044</v>
      </c>
      <c r="B6" s="371">
        <f>19%+MAX(IF(BossLevel*5-CharLevel*5&gt;10, 5%+(BossLevel*5-CharLevel*5)*0.2%, 5%+(BossLevel*5-CharLevel*5)*0.1%), 0%)</f>
        <v>0.27</v>
      </c>
    </row>
    <row r="7" spans="1:4">
      <c r="A7" s="6" t="s">
        <v>2046</v>
      </c>
      <c r="B7" s="121">
        <f>Talents!O15</f>
        <v>73</v>
      </c>
      <c r="D7" s="324"/>
    </row>
    <row r="8" spans="1:4">
      <c r="A8" s="6" t="s">
        <v>2047</v>
      </c>
      <c r="B8" s="121">
        <f>Talents!O14</f>
        <v>70</v>
      </c>
      <c r="D8" s="324"/>
    </row>
    <row r="9" spans="1:4">
      <c r="A9" s="6" t="s">
        <v>734</v>
      </c>
      <c r="B9" s="653">
        <f>MHavg</f>
        <v>211</v>
      </c>
      <c r="C9" s="6" t="s">
        <v>735</v>
      </c>
      <c r="D9" s="324"/>
    </row>
    <row r="10" spans="1:4">
      <c r="A10" s="6" t="s">
        <v>736</v>
      </c>
      <c r="B10" s="217">
        <f>MHspd</f>
        <v>2.6</v>
      </c>
      <c r="C10" s="6" t="s">
        <v>737</v>
      </c>
      <c r="D10" s="324"/>
    </row>
    <row r="11" spans="1:4">
      <c r="A11" s="6" t="s">
        <v>740</v>
      </c>
      <c r="B11" s="653">
        <f>ohavg</f>
        <v>100.5</v>
      </c>
      <c r="C11" s="6" t="s">
        <v>738</v>
      </c>
      <c r="D11" s="324"/>
    </row>
    <row r="12" spans="1:4">
      <c r="A12" s="6" t="s">
        <v>741</v>
      </c>
      <c r="B12" s="217">
        <f>ohspd</f>
        <v>1.4</v>
      </c>
      <c r="C12" s="6" t="s">
        <v>739</v>
      </c>
      <c r="D12" s="324"/>
    </row>
    <row r="13" spans="1:4">
      <c r="A13" s="6" t="s">
        <v>2050</v>
      </c>
      <c r="B13" s="371">
        <f>50%+50%*talDWSpec*talDWSpecRate</f>
        <v>0.75</v>
      </c>
      <c r="D13" s="324"/>
    </row>
    <row r="14" spans="1:4">
      <c r="A14" s="6" t="s">
        <v>639</v>
      </c>
      <c r="B14" s="1361">
        <v>2.4</v>
      </c>
      <c r="C14" s="6" t="s">
        <v>836</v>
      </c>
      <c r="D14" s="324"/>
    </row>
    <row r="15" spans="1:4">
      <c r="A15" s="6" t="s">
        <v>638</v>
      </c>
      <c r="B15" s="1361">
        <v>1.7</v>
      </c>
      <c r="C15" s="6" t="s">
        <v>837</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3041</v>
      </c>
      <c r="B18" s="236"/>
    </row>
    <row r="19" spans="1:4" s="221" customFormat="1">
      <c r="A19" s="221" t="s">
        <v>619</v>
      </c>
      <c r="B19" s="1362">
        <f>nextstat2!$E$11</f>
        <v>0.3930630284412473</v>
      </c>
    </row>
    <row r="20" spans="1:4">
      <c r="A20" s="6" t="s">
        <v>620</v>
      </c>
      <c r="B20" s="217">
        <f>nextstat2!$E$4</f>
        <v>0.8272128693349714</v>
      </c>
    </row>
    <row r="21" spans="1:4">
      <c r="A21" s="6" t="s">
        <v>621</v>
      </c>
      <c r="B21" s="217">
        <f>nextstat2!$E$3</f>
        <v>0.3573300258551626</v>
      </c>
    </row>
    <row r="22" spans="1:4">
      <c r="A22" s="6" t="s">
        <v>1403</v>
      </c>
      <c r="B22" s="217">
        <f>nextstat2!$E$5</f>
        <v>0.68579630550948423</v>
      </c>
    </row>
    <row r="23" spans="1:4">
      <c r="A23" s="6" t="s">
        <v>1404</v>
      </c>
      <c r="B23" s="217">
        <f>nextstat2!$E$6</f>
        <v>5.5500314671271553</v>
      </c>
    </row>
    <row r="24" spans="1:4">
      <c r="A24" s="6" t="s">
        <v>1405</v>
      </c>
      <c r="B24" s="217">
        <f>nextstat2!$E$7</f>
        <v>3.6713847390201408</v>
      </c>
    </row>
    <row r="25" spans="1:4">
      <c r="A25" s="6" t="s">
        <v>1406</v>
      </c>
      <c r="B25" s="217">
        <f>nextstat2!$E$8</f>
        <v>0.12290860133657588</v>
      </c>
    </row>
    <row r="26" spans="1:4">
      <c r="A26" s="6" t="s">
        <v>1407</v>
      </c>
      <c r="B26" s="217">
        <f>nextstat2!$E$9</f>
        <v>1.1786101463294472</v>
      </c>
    </row>
    <row r="27" spans="1:4" s="218" customFormat="1">
      <c r="A27" s="218" t="s">
        <v>1591</v>
      </c>
      <c r="B27" s="236"/>
    </row>
    <row r="28" spans="1:4" s="218" customFormat="1">
      <c r="A28" s="218" t="s">
        <v>175</v>
      </c>
      <c r="B28" s="236"/>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8" customFormat="1">
      <c r="A53" s="218" t="s">
        <v>2220</v>
      </c>
      <c r="B53" s="236"/>
    </row>
    <row r="54" spans="1:3" s="218" customFormat="1">
      <c r="B54" s="236"/>
    </row>
    <row r="55" spans="1:3">
      <c r="A55" s="6" t="s">
        <v>263</v>
      </c>
      <c r="B55" s="120" t="b">
        <f>SetTB2p</f>
        <v>0</v>
      </c>
    </row>
    <row r="56" spans="1:3" s="221" customFormat="1">
      <c r="A56" s="221" t="s">
        <v>1167</v>
      </c>
      <c r="B56" s="1363" t="b">
        <f>stSL4P</f>
        <v>0</v>
      </c>
    </row>
    <row r="57" spans="1:3">
      <c r="A57" s="6" t="s">
        <v>1168</v>
      </c>
      <c r="B57" s="337">
        <f>IF(stSL4P,6%,0)</f>
        <v>0</v>
      </c>
      <c r="C57" s="6" t="s">
        <v>636</v>
      </c>
    </row>
    <row r="58" spans="1:3" s="218" customFormat="1">
      <c r="A58" s="218" t="s">
        <v>838</v>
      </c>
      <c r="B58" s="236"/>
    </row>
    <row r="59" spans="1:3" s="218" customFormat="1">
      <c r="B59" s="236"/>
    </row>
    <row r="60" spans="1:3">
      <c r="A60" s="6" t="s">
        <v>1155</v>
      </c>
      <c r="B60" s="337">
        <f>150%+tlSCinst</f>
        <v>1.5</v>
      </c>
      <c r="C60" s="6" t="s">
        <v>2038</v>
      </c>
    </row>
    <row r="61" spans="1:3">
      <c r="A61" s="6" t="s">
        <v>1156</v>
      </c>
      <c r="B61" s="120">
        <f>1+tlSAfac+tlAGGfac+tlAGGfac+stSL4pbn</f>
        <v>1.2200000000000002</v>
      </c>
      <c r="C61" s="6" t="s">
        <v>1172</v>
      </c>
    </row>
    <row r="62" spans="1:3">
      <c r="A62" s="6" t="s">
        <v>1157</v>
      </c>
      <c r="B62" s="120">
        <v>170</v>
      </c>
    </row>
    <row r="63" spans="1:3" s="328" customFormat="1">
      <c r="A63" s="328" t="s">
        <v>1173</v>
      </c>
      <c r="B63" s="1364">
        <f>$B$61*$B$60</f>
        <v>1.8300000000000003</v>
      </c>
      <c r="C63" s="328" t="s">
        <v>1174</v>
      </c>
    </row>
    <row r="64" spans="1:3">
      <c r="A64" s="6" t="s">
        <v>1175</v>
      </c>
      <c r="B64" s="337">
        <f>110%+tlSCinst</f>
        <v>1.1000000000000001</v>
      </c>
      <c r="C64" s="6" t="s">
        <v>642</v>
      </c>
    </row>
    <row r="65" spans="1:3">
      <c r="A65" s="6" t="s">
        <v>637</v>
      </c>
      <c r="B65" s="120">
        <f>1+stSL4pbn</f>
        <v>1</v>
      </c>
      <c r="C65" s="6" t="s">
        <v>643</v>
      </c>
    </row>
    <row r="66" spans="1:3">
      <c r="A66" s="6" t="s">
        <v>640</v>
      </c>
      <c r="B66" s="120">
        <f>$B$64*$B$65</f>
        <v>1.1000000000000001</v>
      </c>
      <c r="C66" s="6" t="s">
        <v>641</v>
      </c>
    </row>
    <row r="67" spans="1:3" s="218" customFormat="1">
      <c r="A67" s="218" t="s">
        <v>1898</v>
      </c>
      <c r="B67" s="236"/>
    </row>
    <row r="68" spans="1:3" s="218" customFormat="1">
      <c r="B68" s="236"/>
    </row>
    <row r="69" spans="1:3">
      <c r="A69" s="6" t="s">
        <v>1244</v>
      </c>
      <c r="B69" s="120">
        <f>tlSwS</f>
        <v>5</v>
      </c>
      <c r="C69" s="6" t="s">
        <v>1245</v>
      </c>
    </row>
    <row r="70" spans="1:3">
      <c r="A70" s="6" t="s">
        <v>1247</v>
      </c>
      <c r="B70" s="337">
        <v>0.01</v>
      </c>
    </row>
    <row r="71" spans="1:3">
      <c r="A71" s="6" t="s">
        <v>1248</v>
      </c>
      <c r="B71" s="337">
        <f>tlSwS*$B$70</f>
        <v>0.05</v>
      </c>
      <c r="C71" s="6" t="s">
        <v>1246</v>
      </c>
    </row>
    <row r="72" spans="1:3">
      <c r="A72" s="6" t="s">
        <v>1249</v>
      </c>
      <c r="B72" s="337" t="b">
        <f>(mhtype="Sword")</f>
        <v>1</v>
      </c>
      <c r="C72" s="6" t="s">
        <v>1098</v>
      </c>
    </row>
    <row r="73" spans="1:3">
      <c r="A73" s="6" t="s">
        <v>1097</v>
      </c>
      <c r="B73" s="337" t="b">
        <f>(ohtype="Sword")</f>
        <v>1</v>
      </c>
      <c r="C73" s="6" t="s">
        <v>1099</v>
      </c>
    </row>
    <row r="74" spans="1:3" s="221" customFormat="1">
      <c r="A74" s="221" t="s">
        <v>2051</v>
      </c>
      <c r="B74" s="1363">
        <f>talDWSpec</f>
        <v>5</v>
      </c>
    </row>
    <row r="75" spans="1:3">
      <c r="A75" s="6" t="s">
        <v>2052</v>
      </c>
      <c r="B75" s="337">
        <v>0.1</v>
      </c>
    </row>
    <row r="76" spans="1:3" s="221" customFormat="1">
      <c r="A76" s="221" t="s">
        <v>1164</v>
      </c>
      <c r="B76" s="1363">
        <f>tlSC</f>
        <v>0</v>
      </c>
    </row>
    <row r="77" spans="1:3">
      <c r="A77" s="6" t="s">
        <v>1161</v>
      </c>
      <c r="B77" s="337">
        <v>0.01</v>
      </c>
      <c r="C77" s="6" t="s">
        <v>1162</v>
      </c>
    </row>
    <row r="78" spans="1:3">
      <c r="A78" s="6" t="s">
        <v>1152</v>
      </c>
      <c r="B78" s="337">
        <f>3%</f>
        <v>0.03</v>
      </c>
    </row>
    <row r="79" spans="1:3">
      <c r="A79" s="6" t="s">
        <v>1153</v>
      </c>
      <c r="B79" s="337">
        <f>tlSC*$B$77</f>
        <v>0</v>
      </c>
    </row>
    <row r="80" spans="1:3">
      <c r="A80" s="6" t="s">
        <v>1154</v>
      </c>
      <c r="B80" s="337">
        <f>tlSC*$B$78</f>
        <v>0</v>
      </c>
    </row>
    <row r="81" spans="1:3" s="221" customFormat="1">
      <c r="A81" s="221" t="s">
        <v>2035</v>
      </c>
      <c r="B81" s="1363">
        <f>tlMurder</f>
        <v>2</v>
      </c>
    </row>
    <row r="82" spans="1:3">
      <c r="A82" s="6" t="s">
        <v>2036</v>
      </c>
      <c r="B82" s="337">
        <v>0.01</v>
      </c>
      <c r="C82" s="6" t="s">
        <v>1160</v>
      </c>
    </row>
    <row r="83" spans="1:3" s="328" customFormat="1">
      <c r="A83" s="328" t="s">
        <v>2037</v>
      </c>
      <c r="B83" s="1365">
        <f>IF(OR(mobtype="Any",mobtype="Beast",mobtype="Dragonkin",mobtype="Giant",mobtype="Humanoid"),100%+tlMurder*$B$82,100%)</f>
        <v>1.02</v>
      </c>
    </row>
    <row r="84" spans="1:3">
      <c r="A84" s="6" t="s">
        <v>1158</v>
      </c>
      <c r="B84" s="120">
        <f>tlSA</f>
        <v>1</v>
      </c>
    </row>
    <row r="85" spans="1:3">
      <c r="A85" s="6" t="s">
        <v>2036</v>
      </c>
      <c r="B85" s="337">
        <v>0.1</v>
      </c>
    </row>
    <row r="86" spans="1:3" s="328" customFormat="1">
      <c r="A86" s="328" t="s">
        <v>1171</v>
      </c>
      <c r="B86" s="1364">
        <f>tlSA*$B$85</f>
        <v>0.1</v>
      </c>
    </row>
    <row r="87" spans="1:3">
      <c r="A87" s="6" t="s">
        <v>1159</v>
      </c>
      <c r="B87" s="120">
        <f>tlOPP</f>
        <v>0</v>
      </c>
    </row>
    <row r="88" spans="1:3">
      <c r="A88" s="6" t="s">
        <v>2036</v>
      </c>
      <c r="B88" s="337">
        <v>0.04</v>
      </c>
      <c r="C88" s="6" t="s">
        <v>1163</v>
      </c>
    </row>
    <row r="89" spans="1:3" s="328" customFormat="1">
      <c r="A89" s="328" t="s">
        <v>1170</v>
      </c>
      <c r="B89" s="1364">
        <f>tlOPP*$B$88</f>
        <v>0</v>
      </c>
    </row>
    <row r="90" spans="1:3">
      <c r="A90" s="6" t="s">
        <v>1165</v>
      </c>
      <c r="B90" s="120">
        <f>tlAGG</f>
        <v>3</v>
      </c>
    </row>
    <row r="91" spans="1:3">
      <c r="A91" s="6" t="s">
        <v>2036</v>
      </c>
      <c r="B91" s="337">
        <v>0.02</v>
      </c>
      <c r="C91" s="6" t="s">
        <v>1166</v>
      </c>
    </row>
    <row r="92" spans="1:3" s="328" customFormat="1">
      <c r="A92" s="328" t="s">
        <v>1169</v>
      </c>
      <c r="B92" s="1364">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8" customFormat="1">
      <c r="A105" s="218" t="s">
        <v>1357</v>
      </c>
      <c r="B105" s="236"/>
    </row>
    <row r="106" spans="1:4" s="218" customFormat="1">
      <c r="B106" s="236"/>
    </row>
    <row r="107" spans="1:4">
      <c r="A107" s="6" t="s">
        <v>2169</v>
      </c>
      <c r="B107" s="371">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1">
        <f>IF(OR(trinket1="Hand of Justice",trinket2="Hand of Justice"),Optimize!C60,0%)</f>
        <v>0</v>
      </c>
      <c r="C110" s="324"/>
      <c r="D110" s="1356"/>
    </row>
    <row r="111" spans="1:4" s="478" customFormat="1">
      <c r="A111" s="478" t="s">
        <v>74</v>
      </c>
      <c r="B111" s="1366"/>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7">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2433</v>
      </c>
      <c r="Q1" s="863" t="s">
        <v>2434</v>
      </c>
      <c r="R1" s="863" t="s">
        <v>2435</v>
      </c>
      <c r="S1" s="863" t="s">
        <v>1214</v>
      </c>
      <c r="T1" s="863" t="s">
        <v>1215</v>
      </c>
      <c r="U1" s="863" t="s">
        <v>1216</v>
      </c>
      <c r="V1" s="863" t="s">
        <v>2140</v>
      </c>
      <c r="W1" s="863" t="s">
        <v>2139</v>
      </c>
      <c r="X1" s="863" t="s">
        <v>768</v>
      </c>
      <c r="Y1" s="863" t="s">
        <v>264</v>
      </c>
      <c r="Z1" s="863" t="s">
        <v>2436</v>
      </c>
      <c r="AA1" s="863" t="s">
        <v>2432</v>
      </c>
      <c r="AB1" s="863" t="s">
        <v>2431</v>
      </c>
      <c r="AC1" s="863" t="s">
        <v>2430</v>
      </c>
      <c r="AD1" s="863" t="s">
        <v>2429</v>
      </c>
      <c r="AE1" s="864" t="s">
        <v>2437</v>
      </c>
      <c r="AG1" s="1335" t="s">
        <v>3089</v>
      </c>
      <c r="AH1" s="863" t="s">
        <v>767</v>
      </c>
      <c r="AI1" s="863" t="s">
        <v>765</v>
      </c>
      <c r="AJ1" s="863" t="s">
        <v>773</v>
      </c>
      <c r="AK1" s="863" t="s">
        <v>2140</v>
      </c>
      <c r="AL1" s="863" t="s">
        <v>2139</v>
      </c>
      <c r="AM1" s="863" t="s">
        <v>768</v>
      </c>
      <c r="AN1" s="863" t="s">
        <v>1217</v>
      </c>
      <c r="AO1" s="863" t="s">
        <v>2144</v>
      </c>
      <c r="AP1" s="863" t="s">
        <v>2432</v>
      </c>
      <c r="AQ1" s="863" t="s">
        <v>2431</v>
      </c>
      <c r="AR1" s="863" t="s">
        <v>2430</v>
      </c>
      <c r="AS1" s="863" t="s">
        <v>2429</v>
      </c>
      <c r="AT1" s="863" t="s">
        <v>1218</v>
      </c>
      <c r="AU1" s="864" t="s">
        <v>1219</v>
      </c>
    </row>
    <row r="2" spans="1:47">
      <c r="B2" s="120" t="s">
        <v>2438</v>
      </c>
      <c r="C2" s="120" t="s">
        <v>54</v>
      </c>
      <c r="D2" s="120" t="s">
        <v>55</v>
      </c>
      <c r="E2" s="120" t="s">
        <v>56</v>
      </c>
      <c r="AG2" s="1332" t="s">
        <v>1066</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1465</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1065</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1022</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1447</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2020</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1463</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1056</v>
      </c>
      <c r="AH11" s="768"/>
      <c r="AI11" s="768">
        <v>4</v>
      </c>
      <c r="AJ11" s="768"/>
      <c r="AK11" s="768"/>
      <c r="AL11" s="768"/>
      <c r="AM11" s="768"/>
      <c r="AN11" s="768"/>
      <c r="AO11" s="768"/>
      <c r="AP11" s="768"/>
      <c r="AQ11" s="768"/>
      <c r="AR11" s="768"/>
      <c r="AS11" s="768"/>
      <c r="AT11" s="768"/>
      <c r="AU11" s="1333"/>
    </row>
    <row r="12" spans="1:47">
      <c r="A12" s="142" t="s">
        <v>2439</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1473</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1449</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817</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2428</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2427</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1338</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1459</v>
      </c>
      <c r="AH18" s="768"/>
      <c r="AI18" s="768"/>
      <c r="AJ18" s="768">
        <v>4</v>
      </c>
      <c r="AK18" s="768"/>
      <c r="AL18" s="768"/>
      <c r="AM18" s="768"/>
      <c r="AN18" s="768"/>
      <c r="AO18" s="768"/>
      <c r="AP18" s="768"/>
      <c r="AQ18" s="768"/>
      <c r="AR18" s="768"/>
      <c r="AS18" s="768"/>
      <c r="AT18" s="768"/>
      <c r="AU18" s="1333"/>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1052</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1070</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1452</v>
      </c>
      <c r="AH21" s="768"/>
      <c r="AI21" s="768"/>
      <c r="AJ21" s="768"/>
      <c r="AK21" s="768"/>
      <c r="AL21" s="768"/>
      <c r="AM21" s="768"/>
      <c r="AN21" s="768">
        <v>3</v>
      </c>
      <c r="AO21" s="768"/>
      <c r="AP21" s="768"/>
      <c r="AQ21" s="768"/>
      <c r="AR21" s="768"/>
      <c r="AS21" s="768"/>
      <c r="AT21" s="768"/>
      <c r="AU21" s="1333"/>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1069</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1303</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1455</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1072</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1689</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1214</v>
      </c>
      <c r="T47" s="860" t="s">
        <v>1215</v>
      </c>
      <c r="U47" s="860" t="s">
        <v>1216</v>
      </c>
      <c r="V47" s="860" t="s">
        <v>2140</v>
      </c>
      <c r="W47" s="860" t="s">
        <v>2139</v>
      </c>
      <c r="X47" s="860" t="s">
        <v>768</v>
      </c>
      <c r="Y47" s="860" t="s">
        <v>264</v>
      </c>
      <c r="Z47" s="860" t="s">
        <v>2436</v>
      </c>
      <c r="AA47" s="860" t="s">
        <v>2432</v>
      </c>
      <c r="AB47" s="860" t="s">
        <v>2431</v>
      </c>
      <c r="AC47" s="860" t="s">
        <v>2430</v>
      </c>
      <c r="AD47" s="860" t="s">
        <v>2429</v>
      </c>
      <c r="AE47" s="861" t="s">
        <v>2437</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7" workbookViewId="0">
      <selection activeCell="AB2" sqref="AB2"/>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1934</v>
      </c>
      <c r="C1" s="699" t="s">
        <v>2798</v>
      </c>
      <c r="D1" s="699" t="s">
        <v>1214</v>
      </c>
      <c r="E1" s="699" t="s">
        <v>1215</v>
      </c>
      <c r="F1" s="699" t="s">
        <v>768</v>
      </c>
      <c r="G1" s="699" t="s">
        <v>2140</v>
      </c>
      <c r="H1" s="699" t="s">
        <v>2139</v>
      </c>
      <c r="I1" s="699" t="s">
        <v>771</v>
      </c>
      <c r="J1" s="699" t="s">
        <v>1219</v>
      </c>
      <c r="K1" s="699" t="s">
        <v>760</v>
      </c>
      <c r="L1" s="699" t="s">
        <v>1216</v>
      </c>
      <c r="M1" s="699" t="s">
        <v>264</v>
      </c>
      <c r="N1" s="699" t="s">
        <v>1217</v>
      </c>
      <c r="O1" s="699" t="s">
        <v>1287</v>
      </c>
      <c r="P1" s="699" t="s">
        <v>1046</v>
      </c>
      <c r="Q1" s="703" t="s">
        <v>1047</v>
      </c>
      <c r="R1" s="699" t="s">
        <v>265</v>
      </c>
      <c r="S1" s="699" t="s">
        <v>666</v>
      </c>
      <c r="T1" s="699" t="s">
        <v>728</v>
      </c>
      <c r="U1" s="699" t="s">
        <v>797</v>
      </c>
      <c r="V1" s="699" t="s">
        <v>53</v>
      </c>
      <c r="W1" s="699">
        <v>0</v>
      </c>
      <c r="X1" s="699" t="s">
        <v>1693</v>
      </c>
      <c r="Y1" s="699" t="s">
        <v>808</v>
      </c>
      <c r="Z1" s="699" t="s">
        <v>921</v>
      </c>
      <c r="AA1" s="699"/>
      <c r="AB1" s="699" t="s">
        <v>801</v>
      </c>
    </row>
    <row r="2" spans="1:32">
      <c r="A2" s="10" t="s">
        <v>2207</v>
      </c>
      <c r="B2" s="114"/>
      <c r="C2" s="114"/>
      <c r="D2" s="114"/>
      <c r="E2" s="114"/>
      <c r="F2" s="114"/>
      <c r="G2" s="114"/>
      <c r="H2" s="114"/>
      <c r="I2" s="114"/>
      <c r="K2" s="114"/>
      <c r="L2" s="114"/>
      <c r="M2" s="114"/>
      <c r="N2" s="114"/>
      <c r="O2" s="114"/>
      <c r="P2" s="114"/>
      <c r="Q2" s="114" t="s">
        <v>1033</v>
      </c>
      <c r="R2" s="250">
        <f>$D2*dpsStr+$E2*dpsAgi+$G2*dpsCrit+$H2*dpsHit+$F2*dpsAP+$I2*dpsHaste+$J2*dpsArmor+$K2*dpsExp</f>
        <v>0</v>
      </c>
      <c r="W2" s="869"/>
      <c r="AA2" s="737"/>
      <c r="AB2" s="713" t="s">
        <v>1689</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1033</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1034</v>
      </c>
      <c r="B4" s="252"/>
      <c r="C4" s="252">
        <v>1</v>
      </c>
      <c r="D4" s="252"/>
      <c r="E4" s="252"/>
      <c r="F4" s="252"/>
      <c r="G4" s="252"/>
      <c r="H4" s="252"/>
      <c r="I4" s="252"/>
      <c r="J4" s="253"/>
      <c r="K4" s="252"/>
      <c r="L4" s="252"/>
      <c r="M4" s="252"/>
      <c r="N4" s="252"/>
      <c r="O4" s="252"/>
      <c r="P4" s="252"/>
      <c r="Q4" s="252" t="s">
        <v>1035</v>
      </c>
      <c r="R4" s="254">
        <f t="shared" si="0"/>
        <v>0</v>
      </c>
      <c r="S4" s="252" t="s">
        <v>1689</v>
      </c>
      <c r="T4" s="252"/>
      <c r="U4" s="357" t="s">
        <v>1689</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1694</v>
      </c>
      <c r="B5" s="252">
        <v>28362</v>
      </c>
      <c r="C5" s="252">
        <v>1</v>
      </c>
      <c r="D5" s="252"/>
      <c r="E5" s="252"/>
      <c r="F5" s="252">
        <v>20</v>
      </c>
      <c r="G5" s="252"/>
      <c r="H5" s="252"/>
      <c r="I5" s="252"/>
      <c r="J5" s="253"/>
      <c r="K5" s="252"/>
      <c r="L5" s="252"/>
      <c r="M5" s="252"/>
      <c r="N5" s="252"/>
      <c r="O5" s="252"/>
      <c r="P5" s="252"/>
      <c r="Q5" s="252" t="s">
        <v>1035</v>
      </c>
      <c r="R5" s="254">
        <f t="shared" si="0"/>
        <v>7.1466005171032521</v>
      </c>
      <c r="S5" s="252" t="s">
        <v>677</v>
      </c>
      <c r="T5" s="252" t="s">
        <v>728</v>
      </c>
      <c r="U5" s="260" t="s">
        <v>798</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1695</v>
      </c>
      <c r="B6" s="252">
        <v>28595</v>
      </c>
      <c r="C6" s="252">
        <v>1</v>
      </c>
      <c r="D6" s="252"/>
      <c r="E6" s="252"/>
      <c r="F6" s="252">
        <v>12</v>
      </c>
      <c r="G6" s="252"/>
      <c r="H6" s="252"/>
      <c r="I6" s="252"/>
      <c r="J6" s="253"/>
      <c r="K6" s="252"/>
      <c r="L6" s="252"/>
      <c r="M6" s="252"/>
      <c r="N6" s="252"/>
      <c r="O6" s="252"/>
      <c r="P6" s="252"/>
      <c r="Q6" s="252" t="s">
        <v>1035</v>
      </c>
      <c r="R6" s="254">
        <f t="shared" si="0"/>
        <v>4.2879603102619512</v>
      </c>
      <c r="S6" s="252" t="s">
        <v>674</v>
      </c>
      <c r="T6" s="252"/>
      <c r="U6" s="323" t="s">
        <v>800</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1696</v>
      </c>
      <c r="B7" s="252">
        <v>32197</v>
      </c>
      <c r="C7" s="252">
        <v>3</v>
      </c>
      <c r="D7" s="252"/>
      <c r="E7" s="252"/>
      <c r="F7" s="252">
        <v>20</v>
      </c>
      <c r="G7" s="252"/>
      <c r="H7" s="252"/>
      <c r="I7" s="252"/>
      <c r="J7" s="253"/>
      <c r="K7" s="252"/>
      <c r="L7" s="252"/>
      <c r="M7" s="252"/>
      <c r="N7" s="252"/>
      <c r="O7" s="252"/>
      <c r="P7" s="252"/>
      <c r="Q7" s="252" t="s">
        <v>1035</v>
      </c>
      <c r="R7" s="254">
        <f t="shared" si="0"/>
        <v>7.1466005171032521</v>
      </c>
      <c r="S7" s="252" t="s">
        <v>674</v>
      </c>
      <c r="T7" s="252"/>
      <c r="U7" s="260" t="s">
        <v>798</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809</v>
      </c>
      <c r="B8" s="252">
        <v>35487</v>
      </c>
      <c r="C8" s="252">
        <v>5</v>
      </c>
      <c r="D8" s="252"/>
      <c r="E8" s="252"/>
      <c r="F8" s="252">
        <v>20</v>
      </c>
      <c r="G8" s="252"/>
      <c r="H8" s="252"/>
      <c r="I8" s="252"/>
      <c r="J8" s="253"/>
      <c r="K8" s="252"/>
      <c r="L8" s="252"/>
      <c r="M8" s="252"/>
      <c r="N8" s="252"/>
      <c r="O8" s="252"/>
      <c r="P8" s="252"/>
      <c r="Q8" s="252" t="s">
        <v>1035</v>
      </c>
      <c r="R8" s="254">
        <f t="shared" si="0"/>
        <v>7.1466005171032521</v>
      </c>
      <c r="S8" s="252" t="s">
        <v>675</v>
      </c>
      <c r="T8" s="252"/>
      <c r="U8" s="260" t="s">
        <v>798</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1697</v>
      </c>
      <c r="B9" s="252">
        <v>24031</v>
      </c>
      <c r="C9" s="252">
        <v>1</v>
      </c>
      <c r="D9" s="252"/>
      <c r="E9" s="252"/>
      <c r="F9" s="252">
        <v>16</v>
      </c>
      <c r="G9" s="252"/>
      <c r="H9" s="252"/>
      <c r="I9" s="252"/>
      <c r="J9" s="253"/>
      <c r="K9" s="252"/>
      <c r="L9" s="252"/>
      <c r="M9" s="252"/>
      <c r="N9" s="252"/>
      <c r="O9" s="252"/>
      <c r="P9" s="252"/>
      <c r="Q9" s="252" t="s">
        <v>1035</v>
      </c>
      <c r="R9" s="254">
        <f t="shared" si="0"/>
        <v>5.7172804136826016</v>
      </c>
      <c r="S9" s="252" t="s">
        <v>674</v>
      </c>
      <c r="T9" s="252"/>
      <c r="U9" s="322" t="s">
        <v>799</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1622</v>
      </c>
      <c r="B10" s="252">
        <v>33131</v>
      </c>
      <c r="C10" s="252">
        <v>2</v>
      </c>
      <c r="D10" s="252"/>
      <c r="E10" s="252"/>
      <c r="F10" s="252">
        <v>32</v>
      </c>
      <c r="G10" s="252"/>
      <c r="H10" s="252"/>
      <c r="I10" s="252"/>
      <c r="J10" s="253"/>
      <c r="K10" s="252"/>
      <c r="L10" s="252"/>
      <c r="M10" s="252"/>
      <c r="N10" s="252"/>
      <c r="O10" s="252"/>
      <c r="P10" s="252"/>
      <c r="Q10" s="252" t="s">
        <v>1035</v>
      </c>
      <c r="R10" s="254">
        <f t="shared" si="0"/>
        <v>11.434560827365203</v>
      </c>
      <c r="S10" s="252" t="s">
        <v>1556</v>
      </c>
      <c r="T10" s="252" t="s">
        <v>728</v>
      </c>
      <c r="U10" s="260" t="s">
        <v>798</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1698</v>
      </c>
      <c r="B11" s="252">
        <v>23097</v>
      </c>
      <c r="C11" s="252">
        <v>1</v>
      </c>
      <c r="D11" s="252"/>
      <c r="E11" s="252">
        <v>6</v>
      </c>
      <c r="F11" s="252"/>
      <c r="G11" s="252"/>
      <c r="H11" s="252"/>
      <c r="I11" s="252"/>
      <c r="J11" s="253"/>
      <c r="K11" s="252"/>
      <c r="L11" s="252"/>
      <c r="M11" s="252"/>
      <c r="N11" s="252"/>
      <c r="O11" s="252"/>
      <c r="P11" s="252"/>
      <c r="Q11" s="252" t="s">
        <v>1035</v>
      </c>
      <c r="R11" s="254">
        <f t="shared" si="0"/>
        <v>4.9632772160098284</v>
      </c>
      <c r="S11" s="252" t="s">
        <v>674</v>
      </c>
      <c r="T11" s="252"/>
      <c r="U11" s="323" t="s">
        <v>800</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1922</v>
      </c>
      <c r="B12" s="252">
        <v>32194</v>
      </c>
      <c r="C12" s="252">
        <v>3</v>
      </c>
      <c r="D12" s="252"/>
      <c r="E12" s="252">
        <v>10</v>
      </c>
      <c r="F12" s="252"/>
      <c r="G12" s="252"/>
      <c r="H12" s="252"/>
      <c r="I12" s="252"/>
      <c r="J12" s="253"/>
      <c r="K12" s="252"/>
      <c r="L12" s="252"/>
      <c r="M12" s="252"/>
      <c r="N12" s="252"/>
      <c r="O12" s="252"/>
      <c r="P12" s="252"/>
      <c r="Q12" s="252" t="s">
        <v>1035</v>
      </c>
      <c r="R12" s="254">
        <f t="shared" si="0"/>
        <v>8.272128693349714</v>
      </c>
      <c r="S12" s="252" t="s">
        <v>674</v>
      </c>
      <c r="T12" s="252"/>
      <c r="U12" s="260" t="s">
        <v>798</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1923</v>
      </c>
      <c r="B13" s="252">
        <v>24028</v>
      </c>
      <c r="C13" s="252">
        <v>1</v>
      </c>
      <c r="D13" s="252"/>
      <c r="E13" s="252">
        <v>8</v>
      </c>
      <c r="F13" s="252"/>
      <c r="G13" s="252"/>
      <c r="H13" s="252"/>
      <c r="I13" s="252"/>
      <c r="J13" s="253"/>
      <c r="K13" s="252"/>
      <c r="L13" s="252"/>
      <c r="M13" s="252"/>
      <c r="N13" s="252"/>
      <c r="O13" s="252"/>
      <c r="P13" s="252"/>
      <c r="Q13" s="252" t="s">
        <v>1035</v>
      </c>
      <c r="R13" s="254">
        <f t="shared" si="0"/>
        <v>6.6177029546797712</v>
      </c>
      <c r="S13" s="252" t="s">
        <v>674</v>
      </c>
      <c r="T13" s="252"/>
      <c r="U13" s="322" t="s">
        <v>799</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1035</v>
      </c>
      <c r="R14" s="254">
        <f t="shared" si="0"/>
        <v>0</v>
      </c>
      <c r="S14" s="252" t="s">
        <v>674</v>
      </c>
      <c r="T14" s="252"/>
      <c r="U14" s="260" t="s">
        <v>798</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1035</v>
      </c>
      <c r="R15" s="254">
        <f t="shared" si="0"/>
        <v>0</v>
      </c>
      <c r="S15" s="252" t="s">
        <v>674</v>
      </c>
      <c r="T15" s="252"/>
      <c r="U15" s="322" t="s">
        <v>799</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1208</v>
      </c>
      <c r="B16" s="252">
        <v>28360</v>
      </c>
      <c r="C16" s="252">
        <v>1</v>
      </c>
      <c r="D16" s="252"/>
      <c r="E16" s="252"/>
      <c r="F16" s="252">
        <v>14</v>
      </c>
      <c r="G16" s="252"/>
      <c r="H16" s="252"/>
      <c r="I16" s="252"/>
      <c r="J16" s="253"/>
      <c r="K16" s="252"/>
      <c r="L16" s="252"/>
      <c r="M16" s="252"/>
      <c r="N16" s="252"/>
      <c r="O16" s="252"/>
      <c r="P16" s="252"/>
      <c r="Q16" s="252" t="s">
        <v>1035</v>
      </c>
      <c r="R16" s="254">
        <f t="shared" si="0"/>
        <v>5.0026203619722764</v>
      </c>
      <c r="S16" s="252" t="s">
        <v>677</v>
      </c>
      <c r="T16" s="252" t="s">
        <v>728</v>
      </c>
      <c r="U16" s="322" t="s">
        <v>799</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604</v>
      </c>
      <c r="B17" s="252">
        <v>28361</v>
      </c>
      <c r="C17" s="252">
        <v>1</v>
      </c>
      <c r="D17" s="252"/>
      <c r="E17" s="252"/>
      <c r="F17" s="252">
        <v>14</v>
      </c>
      <c r="G17" s="252"/>
      <c r="H17" s="252"/>
      <c r="I17" s="252"/>
      <c r="J17" s="253"/>
      <c r="K17" s="252"/>
      <c r="L17" s="252"/>
      <c r="M17" s="252"/>
      <c r="N17" s="252"/>
      <c r="O17" s="252"/>
      <c r="P17" s="252"/>
      <c r="Q17" s="252" t="s">
        <v>1035</v>
      </c>
      <c r="R17" s="254">
        <f t="shared" si="0"/>
        <v>5.0026203619722764</v>
      </c>
      <c r="S17" s="252" t="s">
        <v>677</v>
      </c>
      <c r="T17" s="252" t="s">
        <v>728</v>
      </c>
      <c r="U17" s="322" t="s">
        <v>799</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1035</v>
      </c>
      <c r="R18" s="254">
        <f t="shared" si="0"/>
        <v>0</v>
      </c>
      <c r="S18" s="252" t="s">
        <v>674</v>
      </c>
      <c r="T18" s="252"/>
      <c r="U18" s="260" t="s">
        <v>798</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1035</v>
      </c>
      <c r="R19" s="254">
        <f t="shared" si="0"/>
        <v>0</v>
      </c>
      <c r="S19" s="252" t="s">
        <v>674</v>
      </c>
      <c r="T19" s="252"/>
      <c r="U19" s="322" t="s">
        <v>799</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1033</v>
      </c>
      <c r="R20" s="250">
        <f t="shared" si="0"/>
        <v>0</v>
      </c>
      <c r="S20" s="120" t="s">
        <v>1689</v>
      </c>
      <c r="U20" s="6" t="s">
        <v>1689</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1036</v>
      </c>
      <c r="B21" s="257"/>
      <c r="C21" s="257">
        <v>1</v>
      </c>
      <c r="D21" s="257"/>
      <c r="E21" s="257"/>
      <c r="F21" s="257"/>
      <c r="G21" s="257"/>
      <c r="H21" s="257"/>
      <c r="I21" s="257"/>
      <c r="J21" s="258"/>
      <c r="K21" s="257"/>
      <c r="L21" s="257"/>
      <c r="M21" s="257"/>
      <c r="N21" s="257"/>
      <c r="O21" s="257"/>
      <c r="P21" s="257"/>
      <c r="Q21" s="257" t="s">
        <v>1037</v>
      </c>
      <c r="R21" s="259">
        <f t="shared" si="0"/>
        <v>0</v>
      </c>
      <c r="S21" s="257" t="s">
        <v>1689</v>
      </c>
      <c r="T21" s="257"/>
      <c r="U21" s="357" t="s">
        <v>1689</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2286</v>
      </c>
      <c r="B22" s="257">
        <v>31863</v>
      </c>
      <c r="C22" s="257">
        <v>1</v>
      </c>
      <c r="D22" s="257"/>
      <c r="E22" s="257"/>
      <c r="F22" s="257">
        <v>8</v>
      </c>
      <c r="G22" s="257"/>
      <c r="H22" s="257"/>
      <c r="I22" s="257"/>
      <c r="J22" s="258"/>
      <c r="K22" s="257"/>
      <c r="L22" s="257">
        <v>6</v>
      </c>
      <c r="M22" s="257"/>
      <c r="N22" s="257"/>
      <c r="O22" s="257"/>
      <c r="P22" s="257"/>
      <c r="Q22" s="257" t="s">
        <v>1037</v>
      </c>
      <c r="R22" s="259">
        <f t="shared" si="0"/>
        <v>2.8586402068413008</v>
      </c>
      <c r="S22" s="257" t="s">
        <v>674</v>
      </c>
      <c r="T22" s="257"/>
      <c r="U22" s="322" t="s">
        <v>799</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1496</v>
      </c>
      <c r="B23" s="257">
        <v>31862</v>
      </c>
      <c r="C23" s="257">
        <v>1</v>
      </c>
      <c r="D23" s="257"/>
      <c r="E23" s="257"/>
      <c r="F23" s="257">
        <v>6</v>
      </c>
      <c r="G23" s="257"/>
      <c r="H23" s="257"/>
      <c r="I23" s="257"/>
      <c r="J23" s="258"/>
      <c r="K23" s="257"/>
      <c r="L23" s="257">
        <v>4</v>
      </c>
      <c r="M23" s="257"/>
      <c r="N23" s="257"/>
      <c r="O23" s="257"/>
      <c r="P23" s="257"/>
      <c r="Q23" s="257" t="s">
        <v>1037</v>
      </c>
      <c r="R23" s="259">
        <f t="shared" si="0"/>
        <v>2.1439801551309756</v>
      </c>
      <c r="S23" s="257" t="s">
        <v>674</v>
      </c>
      <c r="T23" s="257"/>
      <c r="U23" s="323" t="s">
        <v>800</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1718</v>
      </c>
      <c r="B24" s="257">
        <v>32213</v>
      </c>
      <c r="C24" s="257">
        <v>3</v>
      </c>
      <c r="D24" s="257"/>
      <c r="E24" s="257"/>
      <c r="F24" s="257">
        <v>10</v>
      </c>
      <c r="G24" s="257"/>
      <c r="H24" s="257"/>
      <c r="I24" s="257"/>
      <c r="J24" s="258"/>
      <c r="K24" s="257"/>
      <c r="L24" s="257">
        <v>7</v>
      </c>
      <c r="M24" s="257"/>
      <c r="N24" s="257"/>
      <c r="O24" s="257"/>
      <c r="P24" s="257"/>
      <c r="Q24" s="257" t="s">
        <v>1037</v>
      </c>
      <c r="R24" s="259">
        <f t="shared" si="0"/>
        <v>3.573300258551626</v>
      </c>
      <c r="S24" s="257" t="s">
        <v>674</v>
      </c>
      <c r="T24" s="257"/>
      <c r="U24" s="260" t="s">
        <v>798</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2287</v>
      </c>
      <c r="B25" s="257">
        <v>30574</v>
      </c>
      <c r="C25" s="257">
        <v>1</v>
      </c>
      <c r="D25" s="257"/>
      <c r="E25" s="257"/>
      <c r="F25" s="257">
        <v>10</v>
      </c>
      <c r="G25" s="257"/>
      <c r="H25" s="257"/>
      <c r="I25" s="257"/>
      <c r="J25" s="258"/>
      <c r="K25" s="257"/>
      <c r="L25" s="257">
        <v>6</v>
      </c>
      <c r="M25" s="257"/>
      <c r="N25" s="257"/>
      <c r="O25" s="257"/>
      <c r="P25" s="257"/>
      <c r="Q25" s="257" t="s">
        <v>1037</v>
      </c>
      <c r="R25" s="259">
        <f t="shared" si="0"/>
        <v>3.573300258551626</v>
      </c>
      <c r="S25" s="257" t="s">
        <v>691</v>
      </c>
      <c r="T25" s="257"/>
      <c r="U25" s="260" t="s">
        <v>798</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1037</v>
      </c>
      <c r="R26" s="259">
        <f t="shared" si="0"/>
        <v>0</v>
      </c>
      <c r="S26" s="257" t="s">
        <v>691</v>
      </c>
      <c r="T26" s="257"/>
      <c r="U26" s="260" t="s">
        <v>798</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2288</v>
      </c>
      <c r="B27" s="257">
        <v>31118</v>
      </c>
      <c r="C27" s="257">
        <v>1</v>
      </c>
      <c r="D27" s="257"/>
      <c r="E27" s="257"/>
      <c r="F27" s="257">
        <v>10</v>
      </c>
      <c r="G27" s="257"/>
      <c r="H27" s="257"/>
      <c r="I27" s="257"/>
      <c r="J27" s="258"/>
      <c r="K27" s="257"/>
      <c r="L27" s="257">
        <v>6</v>
      </c>
      <c r="M27" s="257"/>
      <c r="N27" s="257"/>
      <c r="O27" s="257"/>
      <c r="P27" s="257"/>
      <c r="Q27" s="257" t="s">
        <v>1037</v>
      </c>
      <c r="R27" s="259">
        <f t="shared" si="0"/>
        <v>3.573300258551626</v>
      </c>
      <c r="S27" s="257" t="s">
        <v>675</v>
      </c>
      <c r="T27" s="257"/>
      <c r="U27" s="260" t="s">
        <v>798</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1037</v>
      </c>
      <c r="R28" s="259">
        <f t="shared" si="0"/>
        <v>0</v>
      </c>
      <c r="S28" s="257" t="s">
        <v>691</v>
      </c>
      <c r="T28" s="257"/>
      <c r="U28" s="322" t="s">
        <v>799</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2289</v>
      </c>
      <c r="B29" s="257">
        <v>30563</v>
      </c>
      <c r="C29" s="257">
        <v>1</v>
      </c>
      <c r="D29" s="257"/>
      <c r="E29" s="257"/>
      <c r="F29" s="257"/>
      <c r="G29" s="257"/>
      <c r="H29" s="257"/>
      <c r="I29" s="257"/>
      <c r="J29" s="258"/>
      <c r="K29" s="257"/>
      <c r="L29" s="257">
        <v>6</v>
      </c>
      <c r="M29" s="257">
        <v>5</v>
      </c>
      <c r="N29" s="257"/>
      <c r="O29" s="257"/>
      <c r="P29" s="257"/>
      <c r="Q29" s="257" t="s">
        <v>1037</v>
      </c>
      <c r="R29" s="259">
        <f t="shared" si="0"/>
        <v>0</v>
      </c>
      <c r="S29" s="257" t="s">
        <v>691</v>
      </c>
      <c r="T29" s="257"/>
      <c r="U29" s="260" t="s">
        <v>798</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1979</v>
      </c>
      <c r="B30" s="257">
        <v>24055</v>
      </c>
      <c r="C30" s="257">
        <v>1</v>
      </c>
      <c r="D30" s="257"/>
      <c r="E30" s="257">
        <v>4</v>
      </c>
      <c r="F30" s="257"/>
      <c r="G30" s="257"/>
      <c r="H30" s="257"/>
      <c r="I30" s="257"/>
      <c r="J30" s="258"/>
      <c r="K30" s="257"/>
      <c r="L30" s="257">
        <v>6</v>
      </c>
      <c r="M30" s="257"/>
      <c r="N30" s="257"/>
      <c r="O30" s="257"/>
      <c r="P30" s="257"/>
      <c r="Q30" s="257" t="s">
        <v>1037</v>
      </c>
      <c r="R30" s="259">
        <f t="shared" si="0"/>
        <v>3.3088514773398856</v>
      </c>
      <c r="S30" s="257" t="s">
        <v>674</v>
      </c>
      <c r="T30" s="257"/>
      <c r="U30" s="322" t="s">
        <v>799</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1980</v>
      </c>
      <c r="B31" s="257">
        <v>23110</v>
      </c>
      <c r="C31" s="257">
        <v>1</v>
      </c>
      <c r="D31" s="257"/>
      <c r="E31" s="257">
        <v>3</v>
      </c>
      <c r="F31" s="257"/>
      <c r="G31" s="257"/>
      <c r="H31" s="257"/>
      <c r="I31" s="257"/>
      <c r="J31" s="258"/>
      <c r="K31" s="257"/>
      <c r="L31" s="257">
        <v>4</v>
      </c>
      <c r="M31" s="257"/>
      <c r="N31" s="257"/>
      <c r="O31" s="257"/>
      <c r="P31" s="257"/>
      <c r="Q31" s="257" t="s">
        <v>1037</v>
      </c>
      <c r="R31" s="259">
        <f t="shared" si="0"/>
        <v>2.4816386080049142</v>
      </c>
      <c r="S31" s="257" t="s">
        <v>674</v>
      </c>
      <c r="T31" s="257"/>
      <c r="U31" s="323" t="s">
        <v>800</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1981</v>
      </c>
      <c r="B32" s="257">
        <v>32212</v>
      </c>
      <c r="C32" s="257">
        <v>3</v>
      </c>
      <c r="D32" s="257"/>
      <c r="E32" s="257">
        <v>5</v>
      </c>
      <c r="F32" s="257"/>
      <c r="G32" s="257"/>
      <c r="H32" s="257"/>
      <c r="I32" s="257"/>
      <c r="J32" s="258"/>
      <c r="K32" s="257"/>
      <c r="L32" s="257">
        <v>7</v>
      </c>
      <c r="M32" s="257"/>
      <c r="N32" s="257"/>
      <c r="O32" s="257"/>
      <c r="P32" s="257"/>
      <c r="Q32" s="257" t="s">
        <v>1037</v>
      </c>
      <c r="R32" s="259">
        <f t="shared" si="0"/>
        <v>4.136064346674857</v>
      </c>
      <c r="S32" s="257" t="s">
        <v>674</v>
      </c>
      <c r="T32" s="257"/>
      <c r="U32" s="260" t="s">
        <v>798</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1350</v>
      </c>
      <c r="B33" s="257">
        <v>30549</v>
      </c>
      <c r="C33" s="257">
        <v>1</v>
      </c>
      <c r="D33" s="257"/>
      <c r="E33" s="257">
        <v>5</v>
      </c>
      <c r="F33" s="257"/>
      <c r="G33" s="257"/>
      <c r="H33" s="257"/>
      <c r="I33" s="257"/>
      <c r="J33" s="258"/>
      <c r="K33" s="257"/>
      <c r="L33" s="257">
        <v>6</v>
      </c>
      <c r="M33" s="257"/>
      <c r="N33" s="257"/>
      <c r="O33" s="257"/>
      <c r="P33" s="257"/>
      <c r="Q33" s="257" t="s">
        <v>1037</v>
      </c>
      <c r="R33" s="259">
        <f t="shared" si="0"/>
        <v>4.136064346674857</v>
      </c>
      <c r="S33" s="257" t="s">
        <v>691</v>
      </c>
      <c r="T33" s="257"/>
      <c r="U33" s="260" t="s">
        <v>798</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1037</v>
      </c>
      <c r="R34" s="259">
        <f t="shared" si="0"/>
        <v>1.9653151422062365</v>
      </c>
      <c r="S34" s="257" t="s">
        <v>691</v>
      </c>
      <c r="T34" s="257"/>
      <c r="U34" s="260" t="s">
        <v>798</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1498</v>
      </c>
      <c r="B35" s="257">
        <v>32634</v>
      </c>
      <c r="C35" s="257">
        <v>3</v>
      </c>
      <c r="D35" s="257"/>
      <c r="E35" s="257"/>
      <c r="F35" s="257">
        <v>8</v>
      </c>
      <c r="G35" s="257"/>
      <c r="H35" s="257"/>
      <c r="I35" s="257"/>
      <c r="J35" s="258"/>
      <c r="K35" s="257"/>
      <c r="L35" s="257">
        <v>6</v>
      </c>
      <c r="M35" s="257"/>
      <c r="N35" s="257"/>
      <c r="O35" s="257"/>
      <c r="P35" s="257"/>
      <c r="Q35" s="257" t="s">
        <v>1037</v>
      </c>
      <c r="R35" s="259">
        <f t="shared" si="0"/>
        <v>2.8586402068413008</v>
      </c>
      <c r="S35" s="257" t="s">
        <v>675</v>
      </c>
      <c r="T35" s="257" t="s">
        <v>728</v>
      </c>
      <c r="U35" s="322" t="s">
        <v>799</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1033</v>
      </c>
      <c r="R36" s="250">
        <f t="shared" si="0"/>
        <v>0</v>
      </c>
      <c r="S36" s="120" t="s">
        <v>1689</v>
      </c>
      <c r="U36" s="6" t="s">
        <v>1689</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1038</v>
      </c>
      <c r="B37" s="262"/>
      <c r="C37" s="262">
        <v>1</v>
      </c>
      <c r="D37" s="262"/>
      <c r="E37" s="262"/>
      <c r="F37" s="262"/>
      <c r="G37" s="262"/>
      <c r="H37" s="262"/>
      <c r="I37" s="262"/>
      <c r="J37" s="263"/>
      <c r="K37" s="262"/>
      <c r="L37" s="262"/>
      <c r="M37" s="262"/>
      <c r="N37" s="262"/>
      <c r="O37" s="262"/>
      <c r="P37" s="262"/>
      <c r="Q37" s="262" t="s">
        <v>1039</v>
      </c>
      <c r="R37" s="264">
        <f t="shared" si="0"/>
        <v>0</v>
      </c>
      <c r="S37" s="262" t="s">
        <v>1689</v>
      </c>
      <c r="T37" s="262"/>
      <c r="U37" s="357" t="s">
        <v>1689</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1495</v>
      </c>
      <c r="B38" s="262">
        <v>34256</v>
      </c>
      <c r="C38" s="262">
        <v>4</v>
      </c>
      <c r="D38" s="262"/>
      <c r="E38" s="262"/>
      <c r="F38" s="262"/>
      <c r="G38" s="262"/>
      <c r="H38" s="262"/>
      <c r="I38" s="262"/>
      <c r="J38" s="263"/>
      <c r="K38" s="262"/>
      <c r="L38" s="262">
        <v>15</v>
      </c>
      <c r="M38" s="262"/>
      <c r="N38" s="262"/>
      <c r="O38" s="262"/>
      <c r="P38" s="262"/>
      <c r="Q38" s="262" t="s">
        <v>1039</v>
      </c>
      <c r="R38" s="264">
        <f t="shared" si="0"/>
        <v>0</v>
      </c>
      <c r="S38" s="262" t="s">
        <v>675</v>
      </c>
      <c r="T38" s="262" t="s">
        <v>728</v>
      </c>
      <c r="U38" s="260" t="s">
        <v>798</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1039</v>
      </c>
      <c r="R39" s="264">
        <f t="shared" si="0"/>
        <v>0</v>
      </c>
      <c r="S39" s="262" t="s">
        <v>675</v>
      </c>
      <c r="T39" s="262" t="s">
        <v>728</v>
      </c>
      <c r="U39" s="322" t="s">
        <v>799</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2799</v>
      </c>
      <c r="B40" s="262">
        <v>33135</v>
      </c>
      <c r="C40" s="262">
        <v>3</v>
      </c>
      <c r="D40" s="262"/>
      <c r="E40" s="262"/>
      <c r="F40" s="262"/>
      <c r="G40" s="262"/>
      <c r="H40" s="262"/>
      <c r="I40" s="262"/>
      <c r="J40" s="263"/>
      <c r="K40" s="262"/>
      <c r="L40" s="262">
        <v>18</v>
      </c>
      <c r="M40" s="262"/>
      <c r="N40" s="262"/>
      <c r="O40" s="262"/>
      <c r="P40" s="262"/>
      <c r="Q40" s="262" t="s">
        <v>1039</v>
      </c>
      <c r="R40" s="264">
        <f t="shared" si="0"/>
        <v>0</v>
      </c>
      <c r="S40" s="262" t="s">
        <v>1556</v>
      </c>
      <c r="T40" s="262" t="s">
        <v>728</v>
      </c>
      <c r="U40" s="260" t="s">
        <v>798</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1039</v>
      </c>
      <c r="R41" s="264">
        <f t="shared" si="0"/>
        <v>0</v>
      </c>
      <c r="S41" s="262" t="s">
        <v>674</v>
      </c>
      <c r="T41" s="262"/>
      <c r="U41" s="323" t="s">
        <v>800</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1709</v>
      </c>
      <c r="B42" s="262">
        <v>32200</v>
      </c>
      <c r="C42" s="262">
        <v>3</v>
      </c>
      <c r="D42" s="262"/>
      <c r="E42" s="262"/>
      <c r="F42" s="262"/>
      <c r="G42" s="262"/>
      <c r="H42" s="262"/>
      <c r="I42" s="262"/>
      <c r="J42" s="263"/>
      <c r="K42" s="262"/>
      <c r="L42" s="262">
        <v>15</v>
      </c>
      <c r="M42" s="262"/>
      <c r="N42" s="262"/>
      <c r="O42" s="262"/>
      <c r="P42" s="262"/>
      <c r="Q42" s="262" t="s">
        <v>1039</v>
      </c>
      <c r="R42" s="264">
        <f t="shared" si="0"/>
        <v>0</v>
      </c>
      <c r="S42" s="262" t="s">
        <v>674</v>
      </c>
      <c r="T42" s="262"/>
      <c r="U42" s="260" t="s">
        <v>798</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1710</v>
      </c>
      <c r="B43" s="262">
        <v>24033</v>
      </c>
      <c r="C43" s="262">
        <v>1</v>
      </c>
      <c r="D43" s="262"/>
      <c r="E43" s="262"/>
      <c r="F43" s="262"/>
      <c r="G43" s="262"/>
      <c r="H43" s="262"/>
      <c r="I43" s="262"/>
      <c r="J43" s="263"/>
      <c r="K43" s="262"/>
      <c r="L43" s="262">
        <v>12</v>
      </c>
      <c r="M43" s="262"/>
      <c r="N43" s="262"/>
      <c r="O43" s="262"/>
      <c r="P43" s="262"/>
      <c r="Q43" s="262" t="s">
        <v>1039</v>
      </c>
      <c r="R43" s="264">
        <f t="shared" si="0"/>
        <v>0</v>
      </c>
      <c r="S43" s="262" t="s">
        <v>674</v>
      </c>
      <c r="T43" s="262"/>
      <c r="U43" s="322" t="s">
        <v>799</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2838</v>
      </c>
      <c r="B44" s="262">
        <v>32203</v>
      </c>
      <c r="C44" s="262">
        <v>3</v>
      </c>
      <c r="D44" s="262"/>
      <c r="E44" s="262"/>
      <c r="F44" s="262"/>
      <c r="G44" s="262"/>
      <c r="H44" s="262"/>
      <c r="I44" s="262"/>
      <c r="J44" s="263"/>
      <c r="K44" s="262"/>
      <c r="L44" s="262"/>
      <c r="M44" s="262"/>
      <c r="N44" s="262"/>
      <c r="O44" s="262"/>
      <c r="P44" s="262"/>
      <c r="Q44" s="262" t="s">
        <v>1039</v>
      </c>
      <c r="R44" s="264">
        <f t="shared" si="0"/>
        <v>0</v>
      </c>
      <c r="S44" s="262" t="s">
        <v>674</v>
      </c>
      <c r="T44" s="262"/>
      <c r="U44" s="260" t="s">
        <v>798</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2839</v>
      </c>
      <c r="B45" s="262">
        <v>24039</v>
      </c>
      <c r="C45" s="262">
        <v>1</v>
      </c>
      <c r="D45" s="262"/>
      <c r="E45" s="262"/>
      <c r="F45" s="262"/>
      <c r="G45" s="262"/>
      <c r="H45" s="262"/>
      <c r="I45" s="262"/>
      <c r="J45" s="263"/>
      <c r="K45" s="262"/>
      <c r="L45" s="262"/>
      <c r="M45" s="262"/>
      <c r="N45" s="262"/>
      <c r="O45" s="262"/>
      <c r="P45" s="262"/>
      <c r="Q45" s="262" t="s">
        <v>1039</v>
      </c>
      <c r="R45" s="264">
        <f t="shared" si="0"/>
        <v>0</v>
      </c>
      <c r="S45" s="262" t="s">
        <v>674</v>
      </c>
      <c r="T45" s="262"/>
      <c r="U45" s="322" t="s">
        <v>799</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1033</v>
      </c>
      <c r="R46" s="250">
        <f t="shared" si="0"/>
        <v>0</v>
      </c>
      <c r="S46" s="120" t="s">
        <v>1689</v>
      </c>
      <c r="U46" s="6" t="s">
        <v>1689</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1040</v>
      </c>
      <c r="B47" s="267"/>
      <c r="C47" s="267">
        <v>1</v>
      </c>
      <c r="D47" s="267"/>
      <c r="E47" s="267"/>
      <c r="F47" s="267"/>
      <c r="G47" s="267"/>
      <c r="H47" s="267"/>
      <c r="I47" s="267"/>
      <c r="J47" s="268"/>
      <c r="K47" s="267"/>
      <c r="L47" s="267"/>
      <c r="M47" s="267"/>
      <c r="N47" s="267"/>
      <c r="O47" s="267"/>
      <c r="P47" s="267"/>
      <c r="Q47" s="267" t="s">
        <v>1041</v>
      </c>
      <c r="R47" s="269">
        <f t="shared" si="0"/>
        <v>0</v>
      </c>
      <c r="S47" s="267" t="s">
        <v>1689</v>
      </c>
      <c r="T47" s="267"/>
      <c r="U47" s="357" t="s">
        <v>1689</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605</v>
      </c>
      <c r="B48" s="267">
        <v>27786</v>
      </c>
      <c r="C48" s="267">
        <v>1</v>
      </c>
      <c r="D48" s="267"/>
      <c r="E48" s="267"/>
      <c r="F48" s="267"/>
      <c r="G48" s="267">
        <v>4</v>
      </c>
      <c r="H48" s="267"/>
      <c r="I48" s="267"/>
      <c r="J48" s="268"/>
      <c r="K48" s="267"/>
      <c r="L48" s="267">
        <v>3</v>
      </c>
      <c r="M48" s="267"/>
      <c r="N48" s="267"/>
      <c r="O48" s="267"/>
      <c r="P48" s="267"/>
      <c r="Q48" s="267" t="s">
        <v>1041</v>
      </c>
      <c r="R48" s="269">
        <f t="shared" si="0"/>
        <v>2.7431852220379369</v>
      </c>
      <c r="S48" s="267" t="s">
        <v>677</v>
      </c>
      <c r="T48" s="267" t="s">
        <v>728</v>
      </c>
      <c r="U48" s="322" t="s">
        <v>799</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1493</v>
      </c>
      <c r="B49" s="267">
        <v>27809</v>
      </c>
      <c r="C49" s="267">
        <v>1</v>
      </c>
      <c r="D49" s="267"/>
      <c r="E49" s="267"/>
      <c r="F49" s="267"/>
      <c r="G49" s="267">
        <v>4</v>
      </c>
      <c r="H49" s="267"/>
      <c r="I49" s="267"/>
      <c r="J49" s="268"/>
      <c r="K49" s="267"/>
      <c r="L49" s="267">
        <v>3</v>
      </c>
      <c r="M49" s="267"/>
      <c r="N49" s="267"/>
      <c r="O49" s="267"/>
      <c r="P49" s="267"/>
      <c r="Q49" s="267" t="s">
        <v>1041</v>
      </c>
      <c r="R49" s="269">
        <f t="shared" si="0"/>
        <v>2.7431852220379369</v>
      </c>
      <c r="S49" s="267" t="s">
        <v>677</v>
      </c>
      <c r="T49" s="267" t="s">
        <v>728</v>
      </c>
      <c r="U49" s="322" t="s">
        <v>799</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1041</v>
      </c>
      <c r="R50" s="269">
        <f t="shared" si="0"/>
        <v>0</v>
      </c>
      <c r="S50" s="267" t="s">
        <v>691</v>
      </c>
      <c r="T50" s="267"/>
      <c r="U50" s="260" t="s">
        <v>798</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1864</v>
      </c>
      <c r="B51" s="267">
        <v>23105</v>
      </c>
      <c r="C51" s="267">
        <v>1</v>
      </c>
      <c r="D51" s="267"/>
      <c r="E51" s="267"/>
      <c r="F51" s="267"/>
      <c r="G51" s="267"/>
      <c r="H51" s="267"/>
      <c r="I51" s="267"/>
      <c r="J51" s="268"/>
      <c r="K51" s="267"/>
      <c r="L51" s="267">
        <v>4</v>
      </c>
      <c r="M51" s="267"/>
      <c r="N51" s="267"/>
      <c r="O51" s="267">
        <v>3</v>
      </c>
      <c r="P51" s="267"/>
      <c r="Q51" s="267" t="s">
        <v>1041</v>
      </c>
      <c r="R51" s="269">
        <f t="shared" si="0"/>
        <v>0</v>
      </c>
      <c r="S51" s="267" t="s">
        <v>674</v>
      </c>
      <c r="T51" s="267"/>
      <c r="U51" s="323" t="s">
        <v>800</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1858</v>
      </c>
      <c r="B52" s="267">
        <v>32223</v>
      </c>
      <c r="C52" s="267">
        <v>3</v>
      </c>
      <c r="D52" s="267"/>
      <c r="E52" s="267"/>
      <c r="F52" s="267"/>
      <c r="G52" s="267"/>
      <c r="H52" s="267"/>
      <c r="I52" s="267"/>
      <c r="J52" s="268"/>
      <c r="K52" s="267"/>
      <c r="L52" s="267">
        <v>7</v>
      </c>
      <c r="M52" s="267"/>
      <c r="N52" s="267"/>
      <c r="O52" s="267">
        <v>5</v>
      </c>
      <c r="P52" s="267"/>
      <c r="Q52" s="267" t="s">
        <v>1041</v>
      </c>
      <c r="R52" s="269">
        <f t="shared" si="0"/>
        <v>0</v>
      </c>
      <c r="S52" s="267" t="s">
        <v>674</v>
      </c>
      <c r="T52" s="267"/>
      <c r="U52" s="260" t="s">
        <v>798</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1863</v>
      </c>
      <c r="B53" s="267">
        <v>24062</v>
      </c>
      <c r="C53" s="267">
        <v>1</v>
      </c>
      <c r="D53" s="267"/>
      <c r="E53" s="267"/>
      <c r="F53" s="267"/>
      <c r="G53" s="267"/>
      <c r="H53" s="267"/>
      <c r="I53" s="267"/>
      <c r="J53" s="268"/>
      <c r="K53" s="267"/>
      <c r="L53" s="267">
        <v>6</v>
      </c>
      <c r="M53" s="267"/>
      <c r="N53" s="267"/>
      <c r="O53" s="267">
        <v>4</v>
      </c>
      <c r="P53" s="267"/>
      <c r="Q53" s="267" t="s">
        <v>1041</v>
      </c>
      <c r="R53" s="269">
        <f t="shared" si="0"/>
        <v>0</v>
      </c>
      <c r="S53" s="267" t="s">
        <v>674</v>
      </c>
      <c r="T53" s="267"/>
      <c r="U53" s="322" t="s">
        <v>799</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1711</v>
      </c>
      <c r="B54" s="267">
        <v>30602</v>
      </c>
      <c r="C54" s="267">
        <v>1</v>
      </c>
      <c r="D54" s="267"/>
      <c r="E54" s="267"/>
      <c r="F54" s="267"/>
      <c r="G54" s="267">
        <v>5</v>
      </c>
      <c r="H54" s="267"/>
      <c r="I54" s="267"/>
      <c r="J54" s="268"/>
      <c r="K54" s="267"/>
      <c r="L54" s="267">
        <v>6</v>
      </c>
      <c r="M54" s="267"/>
      <c r="N54" s="267"/>
      <c r="O54" s="267"/>
      <c r="P54" s="267"/>
      <c r="Q54" s="267" t="s">
        <v>1041</v>
      </c>
      <c r="R54" s="269">
        <f t="shared" si="0"/>
        <v>3.4289815275474211</v>
      </c>
      <c r="S54" s="267" t="s">
        <v>691</v>
      </c>
      <c r="T54" s="267"/>
      <c r="U54" s="260" t="s">
        <v>798</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1712</v>
      </c>
      <c r="B55" s="267">
        <v>23104</v>
      </c>
      <c r="C55" s="267">
        <v>1</v>
      </c>
      <c r="D55" s="267"/>
      <c r="E55" s="267"/>
      <c r="F55" s="267"/>
      <c r="G55" s="267">
        <v>3</v>
      </c>
      <c r="H55" s="267"/>
      <c r="I55" s="267"/>
      <c r="J55" s="268"/>
      <c r="K55" s="267"/>
      <c r="L55" s="267">
        <v>4</v>
      </c>
      <c r="M55" s="267"/>
      <c r="N55" s="267"/>
      <c r="O55" s="267"/>
      <c r="P55" s="267"/>
      <c r="Q55" s="267" t="s">
        <v>1041</v>
      </c>
      <c r="R55" s="269">
        <f t="shared" si="0"/>
        <v>2.0573889165284527</v>
      </c>
      <c r="S55" s="267" t="s">
        <v>674</v>
      </c>
      <c r="T55" s="267"/>
      <c r="U55" s="323" t="s">
        <v>800</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1713</v>
      </c>
      <c r="B56" s="267">
        <v>32226</v>
      </c>
      <c r="C56" s="267">
        <v>3</v>
      </c>
      <c r="D56" s="267"/>
      <c r="E56" s="267"/>
      <c r="F56" s="267"/>
      <c r="G56" s="267">
        <v>5</v>
      </c>
      <c r="H56" s="267"/>
      <c r="I56" s="267"/>
      <c r="J56" s="268"/>
      <c r="K56" s="267"/>
      <c r="L56" s="267">
        <v>7</v>
      </c>
      <c r="M56" s="267"/>
      <c r="N56" s="267"/>
      <c r="O56" s="267"/>
      <c r="P56" s="267"/>
      <c r="Q56" s="267" t="s">
        <v>1041</v>
      </c>
      <c r="R56" s="269">
        <f t="shared" si="0"/>
        <v>3.4289815275474211</v>
      </c>
      <c r="S56" s="267" t="s">
        <v>674</v>
      </c>
      <c r="T56" s="267"/>
      <c r="U56" s="260" t="s">
        <v>798</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1714</v>
      </c>
      <c r="B57" s="267">
        <v>24067</v>
      </c>
      <c r="C57" s="267">
        <v>1</v>
      </c>
      <c r="D57" s="267"/>
      <c r="E57" s="267"/>
      <c r="F57" s="267"/>
      <c r="G57" s="267">
        <v>4</v>
      </c>
      <c r="H57" s="267"/>
      <c r="I57" s="267"/>
      <c r="J57" s="268"/>
      <c r="K57" s="267"/>
      <c r="L57" s="267">
        <v>6</v>
      </c>
      <c r="M57" s="267"/>
      <c r="N57" s="267"/>
      <c r="O57" s="267"/>
      <c r="P57" s="267"/>
      <c r="Q57" s="267" t="s">
        <v>1041</v>
      </c>
      <c r="R57" s="269">
        <f t="shared" si="0"/>
        <v>2.7431852220379369</v>
      </c>
      <c r="S57" s="267" t="s">
        <v>674</v>
      </c>
      <c r="T57" s="267"/>
      <c r="U57" s="322" t="s">
        <v>799</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1715</v>
      </c>
      <c r="B58" s="267">
        <v>30592</v>
      </c>
      <c r="C58" s="267">
        <v>1</v>
      </c>
      <c r="D58" s="267"/>
      <c r="E58" s="267"/>
      <c r="F58" s="267"/>
      <c r="G58" s="267"/>
      <c r="H58" s="267"/>
      <c r="I58" s="267"/>
      <c r="J58" s="268"/>
      <c r="K58" s="267"/>
      <c r="L58" s="267">
        <v>6</v>
      </c>
      <c r="M58" s="267"/>
      <c r="N58" s="267">
        <v>5</v>
      </c>
      <c r="O58" s="267"/>
      <c r="P58" s="267"/>
      <c r="Q58" s="267" t="s">
        <v>1041</v>
      </c>
      <c r="R58" s="269">
        <f t="shared" si="0"/>
        <v>0</v>
      </c>
      <c r="S58" s="267" t="s">
        <v>691</v>
      </c>
      <c r="T58" s="267"/>
      <c r="U58" s="260" t="s">
        <v>798</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1859</v>
      </c>
      <c r="B59" s="267">
        <v>35758</v>
      </c>
      <c r="C59" s="267">
        <v>3</v>
      </c>
      <c r="D59" s="267"/>
      <c r="E59" s="267"/>
      <c r="F59" s="267"/>
      <c r="G59" s="267"/>
      <c r="H59" s="267"/>
      <c r="I59" s="267"/>
      <c r="J59" s="268"/>
      <c r="K59" s="267"/>
      <c r="L59" s="267">
        <v>7</v>
      </c>
      <c r="M59" s="267"/>
      <c r="N59" s="267">
        <v>5</v>
      </c>
      <c r="O59" s="267"/>
      <c r="P59" s="267"/>
      <c r="Q59" s="267" t="s">
        <v>1041</v>
      </c>
      <c r="R59" s="269">
        <f t="shared" si="0"/>
        <v>0</v>
      </c>
      <c r="S59" s="267" t="s">
        <v>674</v>
      </c>
      <c r="T59" s="267"/>
      <c r="U59" s="260" t="s">
        <v>798</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1499</v>
      </c>
      <c r="B60" s="267">
        <v>33782</v>
      </c>
      <c r="C60" s="267">
        <v>1</v>
      </c>
      <c r="D60" s="267"/>
      <c r="E60" s="267"/>
      <c r="F60" s="267"/>
      <c r="G60" s="267"/>
      <c r="H60" s="267"/>
      <c r="I60" s="267"/>
      <c r="J60" s="268"/>
      <c r="K60" s="267"/>
      <c r="L60" s="267">
        <v>6</v>
      </c>
      <c r="M60" s="267"/>
      <c r="N60" s="267">
        <v>4</v>
      </c>
      <c r="O60" s="267"/>
      <c r="P60" s="267"/>
      <c r="Q60" s="267" t="s">
        <v>1041</v>
      </c>
      <c r="R60" s="269">
        <f t="shared" si="0"/>
        <v>0</v>
      </c>
      <c r="S60" s="267" t="s">
        <v>674</v>
      </c>
      <c r="T60" s="267"/>
      <c r="U60" s="322" t="s">
        <v>799</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1033</v>
      </c>
      <c r="R61" s="250">
        <f t="shared" si="0"/>
        <v>0</v>
      </c>
      <c r="S61" s="120" t="s">
        <v>1689</v>
      </c>
      <c r="U61" s="6" t="s">
        <v>1689</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1042</v>
      </c>
      <c r="B62" s="272"/>
      <c r="C62" s="272">
        <v>1</v>
      </c>
      <c r="D62" s="272"/>
      <c r="E62" s="272"/>
      <c r="F62" s="272"/>
      <c r="G62" s="272"/>
      <c r="H62" s="272"/>
      <c r="I62" s="272"/>
      <c r="J62" s="273"/>
      <c r="K62" s="272"/>
      <c r="L62" s="272"/>
      <c r="M62" s="272"/>
      <c r="N62" s="272"/>
      <c r="O62" s="272"/>
      <c r="P62" s="272"/>
      <c r="Q62" s="272" t="s">
        <v>1043</v>
      </c>
      <c r="R62" s="274">
        <f t="shared" si="0"/>
        <v>0</v>
      </c>
      <c r="S62" s="272" t="s">
        <v>1689</v>
      </c>
      <c r="T62" s="272"/>
      <c r="U62" s="357" t="s">
        <v>1689</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1867</v>
      </c>
      <c r="B63" s="272">
        <v>33144</v>
      </c>
      <c r="C63" s="272">
        <v>3</v>
      </c>
      <c r="D63" s="272"/>
      <c r="E63" s="272"/>
      <c r="F63" s="272"/>
      <c r="G63" s="272"/>
      <c r="H63" s="272"/>
      <c r="I63" s="272"/>
      <c r="J63" s="273"/>
      <c r="K63" s="272"/>
      <c r="L63" s="272"/>
      <c r="M63" s="272"/>
      <c r="N63" s="272"/>
      <c r="O63" s="272">
        <v>12</v>
      </c>
      <c r="P63" s="272"/>
      <c r="Q63" s="272" t="s">
        <v>1043</v>
      </c>
      <c r="R63" s="274">
        <f t="shared" si="0"/>
        <v>0</v>
      </c>
      <c r="S63" s="272" t="s">
        <v>1556</v>
      </c>
      <c r="T63" s="272" t="s">
        <v>728</v>
      </c>
      <c r="U63" s="260" t="s">
        <v>798</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1500</v>
      </c>
      <c r="B64" s="272">
        <v>24053</v>
      </c>
      <c r="C64" s="272">
        <v>1</v>
      </c>
      <c r="D64" s="272"/>
      <c r="E64" s="272"/>
      <c r="F64" s="272"/>
      <c r="G64" s="272"/>
      <c r="H64" s="272"/>
      <c r="I64" s="272"/>
      <c r="J64" s="273"/>
      <c r="K64" s="272"/>
      <c r="L64" s="272"/>
      <c r="M64" s="272"/>
      <c r="N64" s="272">
        <v>8</v>
      </c>
      <c r="O64" s="272"/>
      <c r="P64" s="272"/>
      <c r="Q64" s="272" t="s">
        <v>1043</v>
      </c>
      <c r="R64" s="274">
        <f t="shared" si="0"/>
        <v>0</v>
      </c>
      <c r="S64" s="272" t="s">
        <v>674</v>
      </c>
      <c r="T64" s="272"/>
      <c r="U64" s="322" t="s">
        <v>799</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1982</v>
      </c>
      <c r="B65" s="272">
        <v>32209</v>
      </c>
      <c r="C65" s="272">
        <v>3</v>
      </c>
      <c r="D65" s="272"/>
      <c r="E65" s="272"/>
      <c r="F65" s="272"/>
      <c r="G65" s="272"/>
      <c r="H65" s="272"/>
      <c r="I65" s="272"/>
      <c r="J65" s="273"/>
      <c r="K65" s="272"/>
      <c r="L65" s="272"/>
      <c r="M65" s="272"/>
      <c r="N65" s="272">
        <v>10</v>
      </c>
      <c r="O65" s="272"/>
      <c r="P65" s="272"/>
      <c r="Q65" s="272" t="s">
        <v>1043</v>
      </c>
      <c r="R65" s="274">
        <f t="shared" si="0"/>
        <v>0</v>
      </c>
      <c r="S65" s="272" t="s">
        <v>674</v>
      </c>
      <c r="T65" s="272"/>
      <c r="U65" s="260" t="s">
        <v>798</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1983</v>
      </c>
      <c r="B66" s="272">
        <v>24051</v>
      </c>
      <c r="C66" s="272">
        <v>1</v>
      </c>
      <c r="D66" s="272"/>
      <c r="E66" s="272"/>
      <c r="F66" s="272"/>
      <c r="G66" s="272"/>
      <c r="H66" s="272">
        <v>8</v>
      </c>
      <c r="I66" s="272"/>
      <c r="J66" s="273"/>
      <c r="K66" s="272"/>
      <c r="L66" s="272"/>
      <c r="M66" s="272"/>
      <c r="N66" s="272"/>
      <c r="O66" s="272"/>
      <c r="P66" s="272"/>
      <c r="Q66" s="272" t="s">
        <v>1043</v>
      </c>
      <c r="R66" s="274">
        <f t="shared" si="0"/>
        <v>44.400251737017243</v>
      </c>
      <c r="S66" s="272" t="s">
        <v>674</v>
      </c>
      <c r="T66" s="272"/>
      <c r="U66" s="322" t="s">
        <v>799</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1984</v>
      </c>
      <c r="B67" s="272">
        <v>23116</v>
      </c>
      <c r="C67" s="272">
        <v>1</v>
      </c>
      <c r="D67" s="272"/>
      <c r="E67" s="272"/>
      <c r="F67" s="272"/>
      <c r="G67" s="272"/>
      <c r="H67" s="272">
        <v>6</v>
      </c>
      <c r="I67" s="272"/>
      <c r="J67" s="273"/>
      <c r="K67" s="272"/>
      <c r="L67" s="272"/>
      <c r="M67" s="272"/>
      <c r="N67" s="272"/>
      <c r="O67" s="272"/>
      <c r="P67" s="272"/>
      <c r="Q67" s="272" t="s">
        <v>1043</v>
      </c>
      <c r="R67" s="274">
        <f t="shared" si="0"/>
        <v>33.300188802762932</v>
      </c>
      <c r="S67" s="272" t="s">
        <v>674</v>
      </c>
      <c r="T67" s="272"/>
      <c r="U67" s="323" t="s">
        <v>800</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1985</v>
      </c>
      <c r="B68" s="272">
        <v>32206</v>
      </c>
      <c r="C68" s="272">
        <v>3</v>
      </c>
      <c r="D68" s="272"/>
      <c r="E68" s="272"/>
      <c r="F68" s="272"/>
      <c r="G68" s="272"/>
      <c r="H68" s="272">
        <v>10</v>
      </c>
      <c r="I68" s="272"/>
      <c r="J68" s="273"/>
      <c r="K68" s="272"/>
      <c r="L68" s="272"/>
      <c r="M68" s="272"/>
      <c r="N68" s="272"/>
      <c r="O68" s="272"/>
      <c r="P68" s="272"/>
      <c r="Q68" s="272" t="s">
        <v>1043</v>
      </c>
      <c r="R68" s="274">
        <f t="shared" si="0"/>
        <v>55.500314671271553</v>
      </c>
      <c r="S68" s="272" t="s">
        <v>674</v>
      </c>
      <c r="T68" s="272"/>
      <c r="U68" s="260" t="s">
        <v>798</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559</v>
      </c>
      <c r="B69" s="272">
        <v>24048</v>
      </c>
      <c r="C69" s="272">
        <v>1</v>
      </c>
      <c r="D69" s="272"/>
      <c r="E69" s="272"/>
      <c r="F69" s="272"/>
      <c r="G69" s="272">
        <v>8</v>
      </c>
      <c r="H69" s="272"/>
      <c r="I69" s="272"/>
      <c r="J69" s="273"/>
      <c r="K69" s="272"/>
      <c r="L69" s="272"/>
      <c r="M69" s="272"/>
      <c r="N69" s="272"/>
      <c r="O69" s="272"/>
      <c r="P69" s="272"/>
      <c r="Q69" s="272" t="s">
        <v>1043</v>
      </c>
      <c r="R69" s="274">
        <f t="shared" si="0"/>
        <v>5.4863704440758738</v>
      </c>
      <c r="S69" s="272" t="s">
        <v>674</v>
      </c>
      <c r="T69" s="272"/>
      <c r="U69" s="322" t="s">
        <v>799</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560</v>
      </c>
      <c r="B70" s="272">
        <v>28290</v>
      </c>
      <c r="C70" s="272">
        <v>1</v>
      </c>
      <c r="D70" s="272"/>
      <c r="E70" s="272"/>
      <c r="F70" s="272"/>
      <c r="G70" s="272">
        <v>6</v>
      </c>
      <c r="H70" s="272"/>
      <c r="I70" s="272"/>
      <c r="J70" s="273"/>
      <c r="K70" s="272"/>
      <c r="L70" s="272"/>
      <c r="M70" s="272"/>
      <c r="N70" s="272"/>
      <c r="O70" s="272"/>
      <c r="P70" s="272"/>
      <c r="Q70" s="272" t="s">
        <v>1043</v>
      </c>
      <c r="R70" s="274">
        <f t="shared" si="0"/>
        <v>4.1147778330569054</v>
      </c>
      <c r="S70" s="272" t="s">
        <v>674</v>
      </c>
      <c r="T70" s="272"/>
      <c r="U70" s="323" t="s">
        <v>800</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2043</v>
      </c>
      <c r="B71" s="272">
        <v>32205</v>
      </c>
      <c r="C71" s="272">
        <v>3</v>
      </c>
      <c r="D71" s="272"/>
      <c r="E71" s="272"/>
      <c r="F71" s="272"/>
      <c r="G71" s="272">
        <v>10</v>
      </c>
      <c r="H71" s="272"/>
      <c r="I71" s="272"/>
      <c r="J71" s="273"/>
      <c r="K71" s="272"/>
      <c r="L71" s="272"/>
      <c r="M71" s="272"/>
      <c r="N71" s="272"/>
      <c r="O71" s="272"/>
      <c r="P71" s="272"/>
      <c r="Q71" s="272" t="s">
        <v>1043</v>
      </c>
      <c r="R71" s="274">
        <f t="shared" si="0"/>
        <v>6.8579630550948423</v>
      </c>
      <c r="S71" s="272" t="s">
        <v>674</v>
      </c>
      <c r="T71" s="272"/>
      <c r="U71" s="260" t="s">
        <v>798</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1419</v>
      </c>
      <c r="B72" s="272">
        <v>28119</v>
      </c>
      <c r="C72" s="272">
        <v>1</v>
      </c>
      <c r="D72" s="272"/>
      <c r="E72" s="272"/>
      <c r="F72" s="272"/>
      <c r="G72" s="272">
        <v>10</v>
      </c>
      <c r="H72" s="272"/>
      <c r="I72" s="272"/>
      <c r="J72" s="273"/>
      <c r="K72" s="272"/>
      <c r="L72" s="272"/>
      <c r="M72" s="272"/>
      <c r="N72" s="272"/>
      <c r="O72" s="272"/>
      <c r="P72" s="272"/>
      <c r="Q72" s="272" t="s">
        <v>1043</v>
      </c>
      <c r="R72" s="274">
        <f t="shared" si="0"/>
        <v>6.8579630550948423</v>
      </c>
      <c r="S72" s="272" t="s">
        <v>677</v>
      </c>
      <c r="T72" s="272" t="s">
        <v>728</v>
      </c>
      <c r="U72" s="260" t="s">
        <v>798</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1667</v>
      </c>
      <c r="B73" s="272">
        <v>33143</v>
      </c>
      <c r="C73" s="272">
        <v>3</v>
      </c>
      <c r="D73" s="272"/>
      <c r="E73" s="272"/>
      <c r="F73" s="272"/>
      <c r="G73" s="272">
        <v>12</v>
      </c>
      <c r="H73" s="272"/>
      <c r="I73" s="272"/>
      <c r="J73" s="273"/>
      <c r="K73" s="272"/>
      <c r="L73" s="272"/>
      <c r="M73" s="272"/>
      <c r="N73" s="272"/>
      <c r="O73" s="272"/>
      <c r="P73" s="272"/>
      <c r="Q73" s="272" t="s">
        <v>1043</v>
      </c>
      <c r="R73" s="274">
        <f>$D73*dpsStr+$E73*dpsAgi+$G73*dpsCrit+$H73*dpsHit+$F73*dpsAP+$I73*dpsHaste+$J73*dpsArmor+$K73*dpsExp</f>
        <v>8.2295556661138107</v>
      </c>
      <c r="S73" s="272" t="s">
        <v>1556</v>
      </c>
      <c r="T73" s="272" t="s">
        <v>728</v>
      </c>
      <c r="U73" s="260" t="s">
        <v>798</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1420</v>
      </c>
      <c r="B74" s="272">
        <v>27679</v>
      </c>
      <c r="C74" s="272">
        <v>3</v>
      </c>
      <c r="D74" s="272"/>
      <c r="E74" s="272"/>
      <c r="F74" s="272"/>
      <c r="G74" s="272"/>
      <c r="H74" s="272"/>
      <c r="I74" s="272"/>
      <c r="J74" s="273"/>
      <c r="K74" s="272"/>
      <c r="L74" s="272"/>
      <c r="M74" s="272"/>
      <c r="N74" s="272">
        <v>10</v>
      </c>
      <c r="O74" s="272"/>
      <c r="P74" s="272"/>
      <c r="Q74" s="272" t="s">
        <v>1043</v>
      </c>
      <c r="R74" s="274">
        <f t="shared" si="0"/>
        <v>0</v>
      </c>
      <c r="S74" s="272" t="s">
        <v>677</v>
      </c>
      <c r="T74" s="272" t="s">
        <v>728</v>
      </c>
      <c r="U74" s="260" t="s">
        <v>798</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1872</v>
      </c>
      <c r="B75" s="272">
        <v>24052</v>
      </c>
      <c r="C75" s="272">
        <v>1</v>
      </c>
      <c r="D75" s="272"/>
      <c r="E75" s="272"/>
      <c r="F75" s="272"/>
      <c r="G75" s="272"/>
      <c r="H75" s="272"/>
      <c r="I75" s="272"/>
      <c r="J75" s="273"/>
      <c r="K75" s="272"/>
      <c r="L75" s="272"/>
      <c r="M75" s="272"/>
      <c r="N75" s="272"/>
      <c r="O75" s="272">
        <v>8</v>
      </c>
      <c r="P75" s="272"/>
      <c r="Q75" s="272" t="s">
        <v>1043</v>
      </c>
      <c r="R75" s="274">
        <f t="shared" si="0"/>
        <v>0</v>
      </c>
      <c r="S75" s="272" t="s">
        <v>674</v>
      </c>
      <c r="T75" s="272"/>
      <c r="U75" s="322" t="s">
        <v>799</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1873</v>
      </c>
      <c r="B76" s="272">
        <v>23115</v>
      </c>
      <c r="C76" s="272">
        <v>1</v>
      </c>
      <c r="D76" s="272"/>
      <c r="E76" s="272"/>
      <c r="F76" s="272"/>
      <c r="G76" s="272"/>
      <c r="H76" s="272"/>
      <c r="I76" s="272"/>
      <c r="J76" s="273"/>
      <c r="K76" s="272"/>
      <c r="L76" s="272"/>
      <c r="M76" s="272"/>
      <c r="N76" s="272"/>
      <c r="O76" s="272">
        <v>6</v>
      </c>
      <c r="P76" s="272"/>
      <c r="Q76" s="272" t="s">
        <v>1043</v>
      </c>
      <c r="R76" s="274">
        <f t="shared" si="0"/>
        <v>0</v>
      </c>
      <c r="S76" s="272" t="s">
        <v>674</v>
      </c>
      <c r="T76" s="272"/>
      <c r="U76" s="323" t="s">
        <v>800</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1869</v>
      </c>
      <c r="B77" s="272">
        <v>32208</v>
      </c>
      <c r="C77" s="272">
        <v>3</v>
      </c>
      <c r="D77" s="272"/>
      <c r="E77" s="272"/>
      <c r="F77" s="272"/>
      <c r="G77" s="272"/>
      <c r="H77" s="272"/>
      <c r="I77" s="272"/>
      <c r="J77" s="273"/>
      <c r="K77" s="272"/>
      <c r="L77" s="272"/>
      <c r="M77" s="272"/>
      <c r="N77" s="272"/>
      <c r="O77" s="272">
        <v>10</v>
      </c>
      <c r="P77" s="272"/>
      <c r="Q77" s="272" t="s">
        <v>1043</v>
      </c>
      <c r="R77" s="274">
        <f t="shared" si="0"/>
        <v>0</v>
      </c>
      <c r="S77" s="272" t="s">
        <v>674</v>
      </c>
      <c r="T77" s="272"/>
      <c r="U77" s="260" t="s">
        <v>798</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1033</v>
      </c>
      <c r="R78" s="250">
        <f t="shared" si="0"/>
        <v>0</v>
      </c>
      <c r="S78" s="120" t="s">
        <v>1689</v>
      </c>
      <c r="U78" s="6" t="s">
        <v>1689</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1044</v>
      </c>
      <c r="B79" s="277"/>
      <c r="C79" s="277">
        <v>1</v>
      </c>
      <c r="D79" s="277"/>
      <c r="E79" s="277"/>
      <c r="F79" s="277"/>
      <c r="G79" s="277"/>
      <c r="H79" s="277"/>
      <c r="I79" s="277"/>
      <c r="J79" s="278"/>
      <c r="K79" s="277"/>
      <c r="L79" s="277"/>
      <c r="M79" s="277"/>
      <c r="N79" s="277"/>
      <c r="O79" s="277"/>
      <c r="P79" s="277"/>
      <c r="Q79" s="277" t="s">
        <v>1045</v>
      </c>
      <c r="R79" s="279">
        <f t="shared" si="0"/>
        <v>0</v>
      </c>
      <c r="S79" s="277" t="s">
        <v>1689</v>
      </c>
      <c r="T79" s="277"/>
      <c r="U79" s="357" t="s">
        <v>1689</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1045</v>
      </c>
      <c r="R80" s="279">
        <f t="shared" si="0"/>
        <v>4.1147778330569054</v>
      </c>
      <c r="S80" s="277" t="s">
        <v>691</v>
      </c>
      <c r="T80" s="277"/>
      <c r="U80" s="260" t="s">
        <v>798</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1876</v>
      </c>
      <c r="B81" s="277">
        <v>30601</v>
      </c>
      <c r="C81" s="277">
        <v>1</v>
      </c>
      <c r="D81" s="277"/>
      <c r="E81" s="277"/>
      <c r="F81" s="277"/>
      <c r="G81" s="277"/>
      <c r="H81" s="277"/>
      <c r="I81" s="277"/>
      <c r="J81" s="278"/>
      <c r="K81" s="277"/>
      <c r="L81" s="277"/>
      <c r="M81" s="277">
        <v>5</v>
      </c>
      <c r="N81" s="277">
        <v>4</v>
      </c>
      <c r="O81" s="277"/>
      <c r="P81" s="277"/>
      <c r="Q81" s="277" t="s">
        <v>1045</v>
      </c>
      <c r="R81" s="279">
        <f t="shared" si="0"/>
        <v>0</v>
      </c>
      <c r="S81" s="277" t="s">
        <v>691</v>
      </c>
      <c r="T81" s="277"/>
      <c r="U81" s="260" t="s">
        <v>798</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1877</v>
      </c>
      <c r="B82" s="277">
        <v>30587</v>
      </c>
      <c r="C82" s="277">
        <v>1</v>
      </c>
      <c r="D82" s="277">
        <v>5</v>
      </c>
      <c r="E82" s="277"/>
      <c r="F82" s="277"/>
      <c r="G82" s="277"/>
      <c r="H82" s="277"/>
      <c r="I82" s="277"/>
      <c r="J82" s="278"/>
      <c r="K82" s="277"/>
      <c r="L82" s="277"/>
      <c r="M82" s="277"/>
      <c r="N82" s="277"/>
      <c r="O82" s="277">
        <v>4</v>
      </c>
      <c r="P82" s="277"/>
      <c r="Q82" s="277" t="s">
        <v>1045</v>
      </c>
      <c r="R82" s="279">
        <f t="shared" si="0"/>
        <v>1.9653151422062365</v>
      </c>
      <c r="S82" s="277" t="s">
        <v>691</v>
      </c>
      <c r="T82" s="277"/>
      <c r="U82" s="260" t="s">
        <v>798</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1045</v>
      </c>
      <c r="R83" s="279">
        <f t="shared" si="0"/>
        <v>6.287621734388722</v>
      </c>
      <c r="S83" s="277" t="s">
        <v>691</v>
      </c>
      <c r="T83" s="277"/>
      <c r="U83" s="260" t="s">
        <v>798</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1045</v>
      </c>
      <c r="R84" s="279">
        <f t="shared" si="0"/>
        <v>2.8586402068413008</v>
      </c>
      <c r="S84" s="277" t="s">
        <v>691</v>
      </c>
      <c r="T84" s="277"/>
      <c r="U84" s="260" t="s">
        <v>798</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1045</v>
      </c>
      <c r="R85" s="279">
        <f t="shared" si="0"/>
        <v>4.7085003642441734</v>
      </c>
      <c r="S85" s="277" t="s">
        <v>691</v>
      </c>
      <c r="T85" s="277"/>
      <c r="U85" s="260" t="s">
        <v>798</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1045</v>
      </c>
      <c r="R86" s="279">
        <f t="shared" si="0"/>
        <v>24.165441010714858</v>
      </c>
      <c r="S86" s="277" t="s">
        <v>691</v>
      </c>
      <c r="T86" s="277"/>
      <c r="U86" s="260" t="s">
        <v>798</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1878</v>
      </c>
      <c r="B87" s="277">
        <v>30558</v>
      </c>
      <c r="C87" s="277">
        <v>1</v>
      </c>
      <c r="D87" s="277"/>
      <c r="E87" s="277"/>
      <c r="F87" s="277"/>
      <c r="G87" s="277"/>
      <c r="H87" s="277"/>
      <c r="I87" s="277"/>
      <c r="J87" s="278"/>
      <c r="K87" s="277"/>
      <c r="L87" s="277"/>
      <c r="M87" s="277"/>
      <c r="N87" s="277"/>
      <c r="O87" s="277">
        <v>4</v>
      </c>
      <c r="P87" s="277"/>
      <c r="Q87" s="277" t="s">
        <v>1045</v>
      </c>
      <c r="R87" s="279">
        <f t="shared" si="0"/>
        <v>0</v>
      </c>
      <c r="S87" s="277" t="s">
        <v>691</v>
      </c>
      <c r="T87" s="277"/>
      <c r="U87" s="260" t="s">
        <v>798</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1045</v>
      </c>
      <c r="R88" s="279">
        <f t="shared" si="0"/>
        <v>26.336190215183478</v>
      </c>
      <c r="S88" s="277" t="s">
        <v>691</v>
      </c>
      <c r="T88" s="277"/>
      <c r="U88" s="260" t="s">
        <v>798</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1045</v>
      </c>
      <c r="R89" s="279">
        <f t="shared" si="0"/>
        <v>19.13173300938638</v>
      </c>
      <c r="S89" s="277" t="s">
        <v>674</v>
      </c>
      <c r="T89" s="277"/>
      <c r="U89" s="323" t="s">
        <v>800</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1045</v>
      </c>
      <c r="R90" s="279">
        <f t="shared" si="0"/>
        <v>25.508977345848507</v>
      </c>
      <c r="S90" s="277" t="s">
        <v>674</v>
      </c>
      <c r="T90" s="277"/>
      <c r="U90" s="322" t="s">
        <v>799</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1045</v>
      </c>
      <c r="R91" s="279">
        <f t="shared" si="0"/>
        <v>31.886221682310634</v>
      </c>
      <c r="S91" s="277" t="s">
        <v>674</v>
      </c>
      <c r="T91" s="277"/>
      <c r="U91" s="260" t="s">
        <v>798</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1879</v>
      </c>
      <c r="B92" s="277">
        <v>30585</v>
      </c>
      <c r="C92" s="277">
        <v>1</v>
      </c>
      <c r="D92" s="277"/>
      <c r="E92" s="277">
        <v>4</v>
      </c>
      <c r="F92" s="277"/>
      <c r="G92" s="277"/>
      <c r="H92" s="277"/>
      <c r="I92" s="277"/>
      <c r="J92" s="278"/>
      <c r="K92" s="277"/>
      <c r="L92" s="277"/>
      <c r="M92" s="277"/>
      <c r="N92" s="277"/>
      <c r="O92" s="277">
        <v>5</v>
      </c>
      <c r="P92" s="277"/>
      <c r="Q92" s="277" t="s">
        <v>1045</v>
      </c>
      <c r="R92" s="279">
        <f t="shared" si="0"/>
        <v>3.3088514773398856</v>
      </c>
      <c r="S92" s="277" t="s">
        <v>674</v>
      </c>
      <c r="T92" s="277"/>
      <c r="U92" s="260" t="s">
        <v>798</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1680</v>
      </c>
      <c r="B93" s="277">
        <v>23098</v>
      </c>
      <c r="C93" s="277">
        <v>1</v>
      </c>
      <c r="D93" s="277">
        <v>3</v>
      </c>
      <c r="E93" s="277"/>
      <c r="F93" s="277"/>
      <c r="G93" s="277">
        <v>3</v>
      </c>
      <c r="H93" s="277"/>
      <c r="I93" s="277"/>
      <c r="J93" s="278"/>
      <c r="K93" s="277"/>
      <c r="L93" s="277"/>
      <c r="M93" s="277"/>
      <c r="N93" s="277"/>
      <c r="O93" s="277"/>
      <c r="P93" s="277"/>
      <c r="Q93" s="277" t="s">
        <v>1045</v>
      </c>
      <c r="R93" s="279">
        <f t="shared" si="0"/>
        <v>3.2365780018521946</v>
      </c>
      <c r="S93" s="277" t="s">
        <v>674</v>
      </c>
      <c r="T93" s="277"/>
      <c r="U93" s="323" t="s">
        <v>800</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1681</v>
      </c>
      <c r="B94" s="277">
        <v>24058</v>
      </c>
      <c r="C94" s="277">
        <v>1</v>
      </c>
      <c r="D94" s="277">
        <v>4</v>
      </c>
      <c r="E94" s="277"/>
      <c r="F94" s="277"/>
      <c r="G94" s="277">
        <v>4</v>
      </c>
      <c r="H94" s="277"/>
      <c r="I94" s="277"/>
      <c r="J94" s="278"/>
      <c r="K94" s="277"/>
      <c r="L94" s="277"/>
      <c r="M94" s="277"/>
      <c r="N94" s="277"/>
      <c r="O94" s="277"/>
      <c r="P94" s="277"/>
      <c r="Q94" s="277" t="s">
        <v>1045</v>
      </c>
      <c r="R94" s="279">
        <f t="shared" ref="R94:R105" si="9">$D94*dpsStr+$E94*dpsAgi+$G94*dpsCrit+$H94*dpsHit+$F94*dpsAP+$I94*dpsHaste+$J94*dpsArmor+$K94*dpsExp</f>
        <v>4.3154373358029261</v>
      </c>
      <c r="S94" s="277" t="s">
        <v>674</v>
      </c>
      <c r="T94" s="277"/>
      <c r="U94" s="322" t="s">
        <v>799</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1682</v>
      </c>
      <c r="B95" s="277">
        <v>28363</v>
      </c>
      <c r="C95" s="277">
        <v>1</v>
      </c>
      <c r="D95" s="277"/>
      <c r="E95" s="277"/>
      <c r="F95" s="277">
        <v>10</v>
      </c>
      <c r="G95" s="277">
        <v>5</v>
      </c>
      <c r="H95" s="277"/>
      <c r="I95" s="277"/>
      <c r="J95" s="278"/>
      <c r="K95" s="277"/>
      <c r="L95" s="277"/>
      <c r="M95" s="277"/>
      <c r="N95" s="277"/>
      <c r="O95" s="277"/>
      <c r="P95" s="277"/>
      <c r="Q95" s="277" t="s">
        <v>1045</v>
      </c>
      <c r="R95" s="279">
        <f t="shared" si="9"/>
        <v>7.0022817860990472</v>
      </c>
      <c r="S95" s="277" t="s">
        <v>677</v>
      </c>
      <c r="T95" s="277" t="s">
        <v>728</v>
      </c>
      <c r="U95" s="260" t="s">
        <v>798</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1683</v>
      </c>
      <c r="B96" s="277">
        <v>32217</v>
      </c>
      <c r="C96" s="277">
        <v>3</v>
      </c>
      <c r="D96" s="277">
        <v>5</v>
      </c>
      <c r="E96" s="277"/>
      <c r="F96" s="277"/>
      <c r="G96" s="277">
        <v>5</v>
      </c>
      <c r="H96" s="277"/>
      <c r="I96" s="277"/>
      <c r="J96" s="278"/>
      <c r="K96" s="277"/>
      <c r="L96" s="277"/>
      <c r="M96" s="277"/>
      <c r="N96" s="277"/>
      <c r="O96" s="277"/>
      <c r="P96" s="277"/>
      <c r="Q96" s="277" t="s">
        <v>1045</v>
      </c>
      <c r="R96" s="279">
        <f t="shared" si="9"/>
        <v>5.3942966697536576</v>
      </c>
      <c r="S96" s="277" t="s">
        <v>674</v>
      </c>
      <c r="T96" s="277"/>
      <c r="U96" s="260" t="s">
        <v>798</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1684</v>
      </c>
      <c r="B97" s="277">
        <v>30575</v>
      </c>
      <c r="C97" s="277">
        <v>1</v>
      </c>
      <c r="D97" s="277"/>
      <c r="E97" s="277"/>
      <c r="F97" s="277"/>
      <c r="G97" s="277"/>
      <c r="H97" s="277">
        <v>4</v>
      </c>
      <c r="I97" s="277"/>
      <c r="J97" s="278"/>
      <c r="K97" s="277"/>
      <c r="L97" s="277"/>
      <c r="M97" s="277">
        <v>5</v>
      </c>
      <c r="N97" s="277"/>
      <c r="O97" s="277"/>
      <c r="P97" s="277"/>
      <c r="Q97" s="277" t="s">
        <v>1045</v>
      </c>
      <c r="R97" s="279">
        <f t="shared" si="9"/>
        <v>22.200125868508621</v>
      </c>
      <c r="S97" s="277" t="s">
        <v>691</v>
      </c>
      <c r="T97" s="277"/>
      <c r="U97" s="260" t="s">
        <v>798</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1685</v>
      </c>
      <c r="B98" s="277">
        <v>30553</v>
      </c>
      <c r="C98" s="277">
        <v>1</v>
      </c>
      <c r="D98" s="277"/>
      <c r="E98" s="277"/>
      <c r="F98" s="277">
        <v>10</v>
      </c>
      <c r="G98" s="277"/>
      <c r="H98" s="277">
        <v>4</v>
      </c>
      <c r="I98" s="277"/>
      <c r="J98" s="278"/>
      <c r="K98" s="277"/>
      <c r="L98" s="277"/>
      <c r="M98" s="277"/>
      <c r="N98" s="277"/>
      <c r="O98" s="277"/>
      <c r="P98" s="277"/>
      <c r="Q98" s="277" t="s">
        <v>1045</v>
      </c>
      <c r="R98" s="279">
        <f t="shared" si="9"/>
        <v>25.773426127060247</v>
      </c>
      <c r="S98" s="277" t="s">
        <v>691</v>
      </c>
      <c r="T98" s="277"/>
      <c r="U98" s="260" t="s">
        <v>798</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1259</v>
      </c>
      <c r="B99" s="277">
        <v>30604</v>
      </c>
      <c r="C99" s="277">
        <v>1</v>
      </c>
      <c r="D99" s="277">
        <v>5</v>
      </c>
      <c r="E99" s="277"/>
      <c r="F99" s="277"/>
      <c r="G99" s="277"/>
      <c r="H99" s="277"/>
      <c r="I99" s="277"/>
      <c r="J99" s="278"/>
      <c r="K99" s="277"/>
      <c r="L99" s="277"/>
      <c r="M99" s="277"/>
      <c r="N99" s="277">
        <v>4</v>
      </c>
      <c r="O99" s="277"/>
      <c r="P99" s="277"/>
      <c r="Q99" s="277" t="s">
        <v>1045</v>
      </c>
      <c r="R99" s="279">
        <f t="shared" si="9"/>
        <v>1.9653151422062365</v>
      </c>
      <c r="S99" s="277" t="s">
        <v>691</v>
      </c>
      <c r="T99" s="277"/>
      <c r="U99" s="260" t="s">
        <v>798</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1552</v>
      </c>
      <c r="B100" s="277">
        <v>30607</v>
      </c>
      <c r="C100" s="277">
        <v>1</v>
      </c>
      <c r="D100" s="277"/>
      <c r="E100" s="277"/>
      <c r="F100" s="277"/>
      <c r="G100" s="277"/>
      <c r="H100" s="277"/>
      <c r="I100" s="277"/>
      <c r="J100" s="278"/>
      <c r="K100" s="277"/>
      <c r="L100" s="277"/>
      <c r="M100" s="277"/>
      <c r="N100" s="277">
        <v>4</v>
      </c>
      <c r="O100" s="277"/>
      <c r="P100" s="277"/>
      <c r="Q100" s="277" t="s">
        <v>1045</v>
      </c>
      <c r="R100" s="279">
        <f t="shared" si="9"/>
        <v>0</v>
      </c>
      <c r="S100" s="277" t="s">
        <v>691</v>
      </c>
      <c r="T100" s="277"/>
      <c r="U100" s="260" t="s">
        <v>798</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1553</v>
      </c>
      <c r="B101" s="277">
        <v>30554</v>
      </c>
      <c r="C101" s="277">
        <v>1</v>
      </c>
      <c r="D101" s="277"/>
      <c r="E101" s="277"/>
      <c r="F101" s="277"/>
      <c r="G101" s="277"/>
      <c r="H101" s="277"/>
      <c r="I101" s="277"/>
      <c r="J101" s="278"/>
      <c r="K101" s="277"/>
      <c r="L101" s="277"/>
      <c r="M101" s="277">
        <v>4</v>
      </c>
      <c r="N101" s="277"/>
      <c r="O101" s="277">
        <v>5</v>
      </c>
      <c r="P101" s="277"/>
      <c r="Q101" s="277" t="s">
        <v>1045</v>
      </c>
      <c r="R101" s="279">
        <f t="shared" si="9"/>
        <v>0</v>
      </c>
      <c r="S101" s="277" t="s">
        <v>691</v>
      </c>
      <c r="T101" s="277"/>
      <c r="U101" s="260" t="s">
        <v>798</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1501</v>
      </c>
      <c r="B102" s="277">
        <v>32637</v>
      </c>
      <c r="C102" s="277">
        <v>3</v>
      </c>
      <c r="D102" s="277"/>
      <c r="E102" s="277"/>
      <c r="F102" s="277">
        <v>8</v>
      </c>
      <c r="G102" s="277">
        <v>4</v>
      </c>
      <c r="H102" s="277"/>
      <c r="I102" s="277"/>
      <c r="J102" s="278"/>
      <c r="K102" s="277"/>
      <c r="L102" s="277"/>
      <c r="M102" s="277"/>
      <c r="N102" s="277"/>
      <c r="O102" s="277"/>
      <c r="P102" s="277"/>
      <c r="Q102" s="277" t="s">
        <v>1045</v>
      </c>
      <c r="R102" s="279">
        <f t="shared" si="9"/>
        <v>5.6018254288792377</v>
      </c>
      <c r="S102" s="277" t="s">
        <v>675</v>
      </c>
      <c r="T102" s="277" t="s">
        <v>728</v>
      </c>
      <c r="U102" s="322" t="s">
        <v>799</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1502</v>
      </c>
      <c r="B103" s="277">
        <v>31869</v>
      </c>
      <c r="C103" s="277">
        <v>1</v>
      </c>
      <c r="D103" s="277"/>
      <c r="E103" s="277"/>
      <c r="F103" s="277">
        <v>6</v>
      </c>
      <c r="G103" s="277">
        <v>3</v>
      </c>
      <c r="H103" s="277"/>
      <c r="I103" s="277"/>
      <c r="J103" s="278"/>
      <c r="K103" s="277"/>
      <c r="L103" s="277"/>
      <c r="M103" s="277"/>
      <c r="N103" s="277"/>
      <c r="O103" s="277"/>
      <c r="P103" s="277"/>
      <c r="Q103" s="277" t="s">
        <v>1045</v>
      </c>
      <c r="R103" s="279">
        <f t="shared" si="9"/>
        <v>4.2013690716594283</v>
      </c>
      <c r="S103" s="277" t="s">
        <v>674</v>
      </c>
      <c r="T103" s="277"/>
      <c r="U103" s="323" t="s">
        <v>800</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2072</v>
      </c>
      <c r="B104" s="277">
        <v>31868</v>
      </c>
      <c r="C104" s="277">
        <v>1</v>
      </c>
      <c r="D104" s="277"/>
      <c r="E104" s="277"/>
      <c r="F104" s="277">
        <v>8</v>
      </c>
      <c r="G104" s="277">
        <v>4</v>
      </c>
      <c r="H104" s="277"/>
      <c r="I104" s="277"/>
      <c r="J104" s="278"/>
      <c r="K104" s="277"/>
      <c r="L104" s="277"/>
      <c r="M104" s="277"/>
      <c r="N104" s="277"/>
      <c r="O104" s="277"/>
      <c r="P104" s="277"/>
      <c r="Q104" s="277" t="s">
        <v>1045</v>
      </c>
      <c r="R104" s="279">
        <f t="shared" si="9"/>
        <v>5.6018254288792377</v>
      </c>
      <c r="S104" s="277" t="s">
        <v>674</v>
      </c>
      <c r="T104" s="277"/>
      <c r="U104" s="322" t="s">
        <v>799</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2073</v>
      </c>
      <c r="B105" s="277">
        <v>32222</v>
      </c>
      <c r="C105" s="277">
        <v>3</v>
      </c>
      <c r="D105" s="277"/>
      <c r="E105" s="277"/>
      <c r="F105" s="277">
        <v>10</v>
      </c>
      <c r="G105" s="277">
        <v>5</v>
      </c>
      <c r="H105" s="277"/>
      <c r="I105" s="277"/>
      <c r="J105" s="278"/>
      <c r="K105" s="277"/>
      <c r="L105" s="277"/>
      <c r="M105" s="277"/>
      <c r="N105" s="277"/>
      <c r="O105" s="277"/>
      <c r="P105" s="277"/>
      <c r="Q105" s="277" t="s">
        <v>1045</v>
      </c>
      <c r="R105" s="279">
        <f t="shared" si="9"/>
        <v>7.0022817860990472</v>
      </c>
      <c r="S105" s="277" t="s">
        <v>674</v>
      </c>
      <c r="T105" s="277"/>
      <c r="U105" s="260" t="s">
        <v>798</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2840</v>
      </c>
      <c r="B107" s="752" t="s">
        <v>1934</v>
      </c>
      <c r="C107" s="752" t="s">
        <v>2798</v>
      </c>
      <c r="D107" s="752" t="s">
        <v>1214</v>
      </c>
      <c r="E107" s="752" t="s">
        <v>1215</v>
      </c>
      <c r="F107" s="752" t="s">
        <v>768</v>
      </c>
      <c r="G107" s="752" t="s">
        <v>2140</v>
      </c>
      <c r="H107" s="752" t="s">
        <v>2139</v>
      </c>
      <c r="I107" s="752" t="s">
        <v>771</v>
      </c>
      <c r="J107" s="752" t="s">
        <v>770</v>
      </c>
      <c r="K107" s="752" t="s">
        <v>760</v>
      </c>
      <c r="L107" s="752" t="s">
        <v>1216</v>
      </c>
      <c r="M107" s="752" t="s">
        <v>264</v>
      </c>
      <c r="N107" s="752" t="s">
        <v>1217</v>
      </c>
      <c r="O107" s="752" t="s">
        <v>1287</v>
      </c>
      <c r="P107" s="752" t="s">
        <v>1046</v>
      </c>
      <c r="Q107" s="730" t="s">
        <v>1047</v>
      </c>
      <c r="R107" s="752" t="s">
        <v>265</v>
      </c>
      <c r="S107" s="752" t="s">
        <v>1344</v>
      </c>
      <c r="T107" s="779" t="s">
        <v>54</v>
      </c>
      <c r="U107" s="780" t="s">
        <v>56</v>
      </c>
      <c r="V107" s="781" t="s">
        <v>55</v>
      </c>
      <c r="W107" s="752">
        <v>0</v>
      </c>
      <c r="X107" s="752"/>
      <c r="Y107" s="752"/>
    </row>
    <row r="108" spans="1:29">
      <c r="A108" s="6" t="s">
        <v>2207</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1689</v>
      </c>
      <c r="Z108" s="6" t="s">
        <v>1924</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1668</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1924</v>
      </c>
      <c r="AC110" s="1391" t="str">
        <f t="shared" si="11"/>
        <v>Brutal Earthstorm Diamond (3dam/stun)</v>
      </c>
    </row>
    <row r="111" spans="1:29">
      <c r="A111" s="6" t="s">
        <v>1669</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1924</v>
      </c>
      <c r="AC111" s="1391" t="str">
        <f t="shared" si="11"/>
        <v>Enigmatic Skyfire Diamond (12crit/5%root resi)</v>
      </c>
    </row>
    <row r="112" spans="1:29">
      <c r="A112" s="336" t="s">
        <v>1503</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1924</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Swift Skyfire Diamond (24ap/minor speed)</v>
      </c>
      <c r="Z113" s="6" t="s">
        <v>1924</v>
      </c>
      <c r="AC113" s="1391" t="str">
        <f t="shared" si="11"/>
        <v>Powerful Earthstorm Diamond (18sta/5%stun resi)</v>
      </c>
    </row>
    <row r="114" spans="1:29">
      <c r="A114" s="6" t="s">
        <v>292</v>
      </c>
      <c r="B114" s="120">
        <v>32409</v>
      </c>
      <c r="C114" s="120">
        <v>3</v>
      </c>
      <c r="E114" s="120">
        <f>IF(S114,12,0)</f>
        <v>12</v>
      </c>
      <c r="H114" s="121"/>
      <c r="R114" s="250">
        <f t="shared" si="10"/>
        <v>9.9265544320196568</v>
      </c>
      <c r="S114" s="120" t="b">
        <f>IF('Gear &amp; Buffs'!Y43=TRUE,IF(AND(T108&gt;=2,U108&gt;=2,V108&gt;=2),TRUE,FALSE),TRUE)</f>
        <v>1</v>
      </c>
      <c r="V114" s="784"/>
      <c r="W114" s="129" t="str">
        <f>IF(AND(OR(IF(includep1,$C114&lt;=1), IF(includep2,$C114&lt;=2), IF(includep3,$C114&lt;=3), IF(includep4,$C114&lt;=107), IF(includep5,$C114&lt;=5))),MAX($W$107:$W113)+1,"")</f>
        <v/>
      </c>
      <c r="X114" s="737">
        <v>5</v>
      </c>
      <c r="Y114" s="713" t="str">
        <f t="shared" si="12"/>
        <v>Swift Windfire Diamond (20ap/minor speed)</v>
      </c>
      <c r="Z114" s="6" t="s">
        <v>1924</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4</v>
      </c>
      <c r="X115" s="737">
        <v>6</v>
      </c>
      <c r="Y115" s="713" t="str">
        <f t="shared" si="12"/>
        <v>Thundering Skyfire Diamond (haste)</v>
      </c>
      <c r="Z115" s="6" t="s">
        <v>1924</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5</v>
      </c>
      <c r="X116" s="737">
        <v>7</v>
      </c>
      <c r="Y116" s="713" t="str">
        <f t="shared" si="12"/>
        <v/>
      </c>
      <c r="Z116" s="6" t="s">
        <v>1924</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6</v>
      </c>
      <c r="X117" s="737">
        <v>8</v>
      </c>
      <c r="Y117" s="713" t="str">
        <f t="shared" si="12"/>
        <v/>
      </c>
      <c r="Z117" s="6" t="s">
        <v>1924</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W45" sqref="W45"/>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0"/>
      <c r="U1" s="700"/>
      <c r="V1" s="700"/>
      <c r="W1" s="700" t="s">
        <v>568</v>
      </c>
      <c r="X1" s="705" t="s">
        <v>569</v>
      </c>
      <c r="Y1" s="701" t="s">
        <v>265</v>
      </c>
      <c r="Z1" s="702" t="s">
        <v>1474</v>
      </c>
      <c r="AA1" s="701">
        <v>0</v>
      </c>
      <c r="AB1" s="701"/>
      <c r="AC1" s="703" t="s">
        <v>461</v>
      </c>
    </row>
    <row r="2" spans="1:30">
      <c r="A2" s="694" t="s">
        <v>2334</v>
      </c>
      <c r="B2" s="695">
        <v>22478</v>
      </c>
      <c r="C2" s="695">
        <v>1</v>
      </c>
      <c r="D2" s="695">
        <v>18</v>
      </c>
      <c r="E2" s="695">
        <v>30</v>
      </c>
      <c r="F2" s="695"/>
      <c r="G2" s="696">
        <v>28</v>
      </c>
      <c r="H2" s="696">
        <v>10</v>
      </c>
      <c r="I2" s="695"/>
      <c r="J2" s="695"/>
      <c r="K2" s="695"/>
      <c r="L2" s="695">
        <v>29</v>
      </c>
      <c r="M2" s="696"/>
      <c r="N2" s="696"/>
      <c r="O2" s="695"/>
      <c r="P2" s="695" t="s">
        <v>2335</v>
      </c>
      <c r="Q2" s="695" t="s">
        <v>1048</v>
      </c>
      <c r="R2" s="695"/>
      <c r="S2" s="695" t="s">
        <v>668</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1689</v>
      </c>
      <c r="AD2" s="1392" t="str">
        <f>HYPERLINK("https://tbc.wowhead.com/item="&amp;B2,A2)</f>
        <v>Bonescythe Helmet</v>
      </c>
    </row>
    <row r="3" spans="1:30">
      <c r="A3" s="676" t="s">
        <v>1484</v>
      </c>
      <c r="B3" s="677">
        <v>35033</v>
      </c>
      <c r="C3" s="677">
        <v>5</v>
      </c>
      <c r="D3" s="677"/>
      <c r="E3" s="677">
        <v>36</v>
      </c>
      <c r="F3" s="677">
        <v>62</v>
      </c>
      <c r="G3" s="678">
        <v>26</v>
      </c>
      <c r="H3" s="678">
        <v>17</v>
      </c>
      <c r="I3" s="677"/>
      <c r="J3" s="677">
        <v>84</v>
      </c>
      <c r="K3" s="677"/>
      <c r="L3" s="677">
        <v>72</v>
      </c>
      <c r="M3" s="678"/>
      <c r="N3" s="678">
        <v>25</v>
      </c>
      <c r="O3" s="677"/>
      <c r="P3" s="677" t="s">
        <v>1068</v>
      </c>
      <c r="Q3" s="677" t="s">
        <v>1064</v>
      </c>
      <c r="R3" s="677" t="s">
        <v>1069</v>
      </c>
      <c r="S3" s="677" t="s">
        <v>677</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1049</v>
      </c>
      <c r="B4" s="678">
        <v>29502</v>
      </c>
      <c r="C4" s="678">
        <v>1</v>
      </c>
      <c r="D4" s="677"/>
      <c r="E4" s="677">
        <v>37</v>
      </c>
      <c r="F4" s="677">
        <v>74</v>
      </c>
      <c r="G4" s="678"/>
      <c r="H4" s="678">
        <v>18</v>
      </c>
      <c r="I4" s="678"/>
      <c r="J4" s="677"/>
      <c r="K4" s="678"/>
      <c r="L4" s="677">
        <v>42</v>
      </c>
      <c r="M4" s="678"/>
      <c r="N4" s="678"/>
      <c r="O4" s="678"/>
      <c r="P4" s="687"/>
      <c r="Q4" s="677" t="s">
        <v>1048</v>
      </c>
      <c r="R4" s="677"/>
      <c r="S4" s="677" t="s">
        <v>685</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1050</v>
      </c>
      <c r="B5" s="678">
        <v>28732</v>
      </c>
      <c r="C5" s="678">
        <v>1</v>
      </c>
      <c r="D5" s="677"/>
      <c r="E5" s="677">
        <v>34</v>
      </c>
      <c r="F5" s="677">
        <v>100</v>
      </c>
      <c r="G5" s="678"/>
      <c r="H5" s="678">
        <v>24</v>
      </c>
      <c r="I5" s="678"/>
      <c r="J5" s="677"/>
      <c r="K5" s="678"/>
      <c r="L5" s="677">
        <v>33</v>
      </c>
      <c r="M5" s="678"/>
      <c r="N5" s="678"/>
      <c r="O5" s="678"/>
      <c r="P5" s="687"/>
      <c r="Q5" s="677" t="s">
        <v>1048</v>
      </c>
      <c r="R5" s="677"/>
      <c r="S5" s="678" t="s">
        <v>672</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2249</v>
      </c>
      <c r="B6" s="678">
        <v>32235</v>
      </c>
      <c r="C6" s="678">
        <v>3</v>
      </c>
      <c r="D6" s="677"/>
      <c r="E6" s="677">
        <v>39</v>
      </c>
      <c r="F6" s="677">
        <v>108</v>
      </c>
      <c r="G6" s="678">
        <v>38</v>
      </c>
      <c r="H6" s="678">
        <v>21</v>
      </c>
      <c r="I6" s="678"/>
      <c r="J6" s="677"/>
      <c r="K6" s="678"/>
      <c r="L6" s="677">
        <v>46</v>
      </c>
      <c r="M6" s="678"/>
      <c r="N6" s="678"/>
      <c r="O6" s="678"/>
      <c r="P6" s="687"/>
      <c r="Q6" s="677" t="s">
        <v>1051</v>
      </c>
      <c r="R6" s="677" t="s">
        <v>1052</v>
      </c>
      <c r="S6" s="678" t="s">
        <v>683</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1053</v>
      </c>
      <c r="B7" s="678">
        <v>27415</v>
      </c>
      <c r="C7" s="678">
        <v>1</v>
      </c>
      <c r="D7" s="677"/>
      <c r="E7" s="677">
        <v>29</v>
      </c>
      <c r="F7" s="677">
        <v>60</v>
      </c>
      <c r="G7" s="678"/>
      <c r="H7" s="678">
        <v>20</v>
      </c>
      <c r="I7" s="678"/>
      <c r="J7" s="677"/>
      <c r="K7" s="678"/>
      <c r="L7" s="677">
        <v>30</v>
      </c>
      <c r="M7" s="678"/>
      <c r="N7" s="678"/>
      <c r="O7" s="678"/>
      <c r="P7" s="687"/>
      <c r="Q7" s="677" t="s">
        <v>1048</v>
      </c>
      <c r="R7" s="677"/>
      <c r="S7" s="677" t="s">
        <v>673</v>
      </c>
      <c r="T7" s="686"/>
      <c r="U7" s="686"/>
      <c r="V7" s="686"/>
      <c r="W7" s="686" t="s">
        <v>632</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1054</v>
      </c>
      <c r="B8" s="677">
        <v>32478</v>
      </c>
      <c r="C8" s="677">
        <v>5</v>
      </c>
      <c r="D8" s="677"/>
      <c r="E8" s="677">
        <v>48</v>
      </c>
      <c r="F8" s="677">
        <v>76</v>
      </c>
      <c r="G8" s="678"/>
      <c r="H8" s="678">
        <v>11</v>
      </c>
      <c r="I8" s="677"/>
      <c r="J8" s="677"/>
      <c r="K8" s="677"/>
      <c r="L8" s="677">
        <v>28</v>
      </c>
      <c r="M8" s="678"/>
      <c r="N8" s="678"/>
      <c r="O8" s="677"/>
      <c r="P8" s="677"/>
      <c r="Q8" s="677" t="s">
        <v>1055</v>
      </c>
      <c r="R8" s="677" t="s">
        <v>1056</v>
      </c>
      <c r="S8" s="677" t="s">
        <v>689</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1057</v>
      </c>
      <c r="B9" s="677">
        <v>30146</v>
      </c>
      <c r="C9" s="677">
        <v>2</v>
      </c>
      <c r="D9" s="677"/>
      <c r="E9" s="677">
        <v>39</v>
      </c>
      <c r="F9" s="677">
        <v>78</v>
      </c>
      <c r="G9" s="678">
        <v>25</v>
      </c>
      <c r="H9" s="678"/>
      <c r="I9" s="677"/>
      <c r="J9" s="677"/>
      <c r="K9" s="677"/>
      <c r="L9" s="677">
        <v>48</v>
      </c>
      <c r="M9" s="678"/>
      <c r="N9" s="678"/>
      <c r="O9" s="677"/>
      <c r="P9" s="677" t="s">
        <v>1063</v>
      </c>
      <c r="Q9" s="677" t="s">
        <v>1064</v>
      </c>
      <c r="R9" s="677" t="s">
        <v>1065</v>
      </c>
      <c r="S9" s="677" t="s">
        <v>667</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965</v>
      </c>
      <c r="B10" s="677">
        <v>34244</v>
      </c>
      <c r="C10" s="677">
        <v>5</v>
      </c>
      <c r="D10" s="677"/>
      <c r="E10" s="677">
        <v>43</v>
      </c>
      <c r="F10" s="677">
        <v>126</v>
      </c>
      <c r="G10" s="678"/>
      <c r="H10" s="678">
        <v>30</v>
      </c>
      <c r="I10" s="677">
        <v>34</v>
      </c>
      <c r="J10" s="677"/>
      <c r="K10" s="677"/>
      <c r="L10" s="677">
        <v>57</v>
      </c>
      <c r="M10" s="678"/>
      <c r="N10" s="678"/>
      <c r="O10" s="677"/>
      <c r="P10" s="677"/>
      <c r="Q10" s="677" t="s">
        <v>1064</v>
      </c>
      <c r="R10" s="677" t="s">
        <v>2020</v>
      </c>
      <c r="S10" s="677" t="s">
        <v>871</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1067</v>
      </c>
      <c r="B11" s="677">
        <v>25830</v>
      </c>
      <c r="C11" s="677">
        <v>1</v>
      </c>
      <c r="D11" s="677"/>
      <c r="E11" s="677">
        <v>34</v>
      </c>
      <c r="F11" s="677">
        <v>36</v>
      </c>
      <c r="G11" s="678">
        <v>13</v>
      </c>
      <c r="H11" s="678"/>
      <c r="I11" s="677"/>
      <c r="J11" s="677"/>
      <c r="K11" s="677"/>
      <c r="L11" s="677">
        <v>53</v>
      </c>
      <c r="M11" s="678"/>
      <c r="N11" s="678">
        <v>23</v>
      </c>
      <c r="O11" s="677"/>
      <c r="P11" s="677" t="s">
        <v>1068</v>
      </c>
      <c r="Q11" s="677" t="s">
        <v>1064</v>
      </c>
      <c r="R11" s="677" t="s">
        <v>1069</v>
      </c>
      <c r="S11" s="677" t="s">
        <v>677</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548</v>
      </c>
      <c r="B12" s="677">
        <v>33479</v>
      </c>
      <c r="C12" s="677">
        <v>4</v>
      </c>
      <c r="D12" s="677"/>
      <c r="E12" s="677">
        <v>40</v>
      </c>
      <c r="F12" s="677">
        <v>82</v>
      </c>
      <c r="G12" s="678"/>
      <c r="H12" s="678">
        <v>24</v>
      </c>
      <c r="I12" s="677"/>
      <c r="J12" s="677"/>
      <c r="K12" s="677"/>
      <c r="L12" s="677">
        <v>48</v>
      </c>
      <c r="M12" s="678"/>
      <c r="N12" s="678"/>
      <c r="O12" s="677"/>
      <c r="P12" s="677"/>
      <c r="Q12" s="677" t="s">
        <v>1001</v>
      </c>
      <c r="R12" s="677" t="s">
        <v>1065</v>
      </c>
      <c r="S12" s="677" t="s">
        <v>664</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1071</v>
      </c>
      <c r="B13" s="677">
        <v>28414</v>
      </c>
      <c r="C13" s="677">
        <v>1</v>
      </c>
      <c r="D13" s="677"/>
      <c r="E13" s="677"/>
      <c r="F13" s="677">
        <v>66</v>
      </c>
      <c r="G13" s="678">
        <v>25</v>
      </c>
      <c r="H13" s="678"/>
      <c r="I13" s="677"/>
      <c r="J13" s="677"/>
      <c r="K13" s="677"/>
      <c r="L13" s="677">
        <v>25</v>
      </c>
      <c r="M13" s="678"/>
      <c r="N13" s="678"/>
      <c r="O13" s="677"/>
      <c r="P13" s="677" t="s">
        <v>2146</v>
      </c>
      <c r="Q13" s="677" t="s">
        <v>1051</v>
      </c>
      <c r="R13" s="677" t="s">
        <v>1072</v>
      </c>
      <c r="S13" s="677" t="s">
        <v>673</v>
      </c>
      <c r="T13" s="686"/>
      <c r="U13" s="686"/>
      <c r="V13" s="686"/>
      <c r="W13" s="686" t="s">
        <v>632</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1073</v>
      </c>
      <c r="B14" s="677">
        <v>28182</v>
      </c>
      <c r="C14" s="677">
        <v>1</v>
      </c>
      <c r="D14" s="677"/>
      <c r="E14" s="677">
        <v>25</v>
      </c>
      <c r="F14" s="677">
        <v>66</v>
      </c>
      <c r="G14" s="678"/>
      <c r="H14" s="678">
        <v>14</v>
      </c>
      <c r="I14" s="677"/>
      <c r="J14" s="677"/>
      <c r="K14" s="677"/>
      <c r="L14" s="677">
        <v>21</v>
      </c>
      <c r="M14" s="678"/>
      <c r="N14" s="678"/>
      <c r="O14" s="677"/>
      <c r="P14" s="677"/>
      <c r="Q14" s="677" t="s">
        <v>1051</v>
      </c>
      <c r="R14" s="677" t="s">
        <v>1069</v>
      </c>
      <c r="S14" s="677" t="s">
        <v>675</v>
      </c>
      <c r="T14" s="686"/>
      <c r="U14" s="686"/>
      <c r="V14" s="686"/>
      <c r="W14" s="686" t="s">
        <v>632</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1074</v>
      </c>
      <c r="B15" s="677">
        <v>28796</v>
      </c>
      <c r="C15" s="677">
        <v>1</v>
      </c>
      <c r="D15" s="677"/>
      <c r="E15" s="677"/>
      <c r="F15" s="677">
        <v>84</v>
      </c>
      <c r="G15" s="678">
        <v>42</v>
      </c>
      <c r="H15" s="678">
        <v>31</v>
      </c>
      <c r="I15" s="677"/>
      <c r="J15" s="677"/>
      <c r="K15" s="677"/>
      <c r="L15" s="677">
        <v>45</v>
      </c>
      <c r="M15" s="678"/>
      <c r="N15" s="678"/>
      <c r="O15" s="677"/>
      <c r="P15" s="677"/>
      <c r="Q15" s="677" t="s">
        <v>1048</v>
      </c>
      <c r="R15" s="677"/>
      <c r="S15" s="677" t="s">
        <v>678</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1075</v>
      </c>
      <c r="B16" s="677">
        <v>32087</v>
      </c>
      <c r="C16" s="677">
        <v>3</v>
      </c>
      <c r="D16" s="677"/>
      <c r="E16" s="677">
        <v>32</v>
      </c>
      <c r="F16" s="677">
        <v>64</v>
      </c>
      <c r="G16" s="678"/>
      <c r="H16" s="678">
        <v>16</v>
      </c>
      <c r="I16" s="677"/>
      <c r="J16" s="677"/>
      <c r="K16" s="677"/>
      <c r="L16" s="677">
        <v>36</v>
      </c>
      <c r="M16" s="678"/>
      <c r="N16" s="678"/>
      <c r="O16" s="677"/>
      <c r="P16" s="677"/>
      <c r="Q16" s="677" t="s">
        <v>1051</v>
      </c>
      <c r="R16" s="677" t="s">
        <v>1056</v>
      </c>
      <c r="S16" s="677" t="s">
        <v>691</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1211</v>
      </c>
      <c r="B17" s="677">
        <v>34404</v>
      </c>
      <c r="C17" s="677">
        <v>5</v>
      </c>
      <c r="D17" s="677">
        <v>50</v>
      </c>
      <c r="E17" s="677">
        <v>50</v>
      </c>
      <c r="F17" s="677"/>
      <c r="G17" s="678">
        <v>30</v>
      </c>
      <c r="H17" s="678"/>
      <c r="I17" s="677"/>
      <c r="J17" s="677"/>
      <c r="K17" s="677"/>
      <c r="L17" s="677">
        <v>58</v>
      </c>
      <c r="M17" s="678"/>
      <c r="N17" s="678"/>
      <c r="O17" s="677"/>
      <c r="P17" s="677"/>
      <c r="Q17" s="677" t="s">
        <v>1064</v>
      </c>
      <c r="R17" s="677" t="s">
        <v>1052</v>
      </c>
      <c r="S17" s="677" t="s">
        <v>871</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1076</v>
      </c>
      <c r="B18" s="677">
        <v>31281</v>
      </c>
      <c r="C18" s="677">
        <v>1</v>
      </c>
      <c r="D18" s="677"/>
      <c r="E18" s="677"/>
      <c r="F18" s="677">
        <v>80</v>
      </c>
      <c r="G18" s="678">
        <v>30</v>
      </c>
      <c r="H18" s="678">
        <v>19</v>
      </c>
      <c r="I18" s="677"/>
      <c r="J18" s="677"/>
      <c r="K18" s="677"/>
      <c r="L18" s="677"/>
      <c r="M18" s="678"/>
      <c r="N18" s="678"/>
      <c r="O18" s="677"/>
      <c r="P18" s="677"/>
      <c r="Q18" s="677" t="s">
        <v>1048</v>
      </c>
      <c r="R18" s="677"/>
      <c r="S18" s="677" t="s">
        <v>674</v>
      </c>
      <c r="T18" s="686"/>
      <c r="U18" s="686"/>
      <c r="V18" s="686"/>
      <c r="W18" s="686" t="s">
        <v>632</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1077</v>
      </c>
      <c r="B19" s="677">
        <v>31999</v>
      </c>
      <c r="C19" s="677">
        <v>2</v>
      </c>
      <c r="D19" s="677"/>
      <c r="E19" s="677">
        <v>37</v>
      </c>
      <c r="F19" s="677">
        <v>44</v>
      </c>
      <c r="G19" s="678">
        <v>17</v>
      </c>
      <c r="H19" s="678"/>
      <c r="I19" s="677"/>
      <c r="J19" s="677"/>
      <c r="K19" s="677"/>
      <c r="L19" s="677">
        <v>58</v>
      </c>
      <c r="M19" s="678"/>
      <c r="N19" s="678">
        <v>25</v>
      </c>
      <c r="O19" s="677"/>
      <c r="P19" s="677" t="s">
        <v>1068</v>
      </c>
      <c r="Q19" s="677" t="s">
        <v>1064</v>
      </c>
      <c r="R19" s="677" t="s">
        <v>1069</v>
      </c>
      <c r="S19" s="677" t="s">
        <v>677</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462</v>
      </c>
      <c r="B20" s="677">
        <v>29044</v>
      </c>
      <c r="C20" s="677">
        <v>1</v>
      </c>
      <c r="D20" s="677"/>
      <c r="E20" s="677">
        <v>28</v>
      </c>
      <c r="F20" s="677">
        <v>78</v>
      </c>
      <c r="G20" s="678"/>
      <c r="H20" s="678">
        <v>14</v>
      </c>
      <c r="I20" s="677"/>
      <c r="J20" s="677"/>
      <c r="K20" s="677"/>
      <c r="L20" s="677">
        <v>39</v>
      </c>
      <c r="M20" s="678"/>
      <c r="N20" s="678"/>
      <c r="O20" s="677"/>
      <c r="P20" s="677" t="s">
        <v>1078</v>
      </c>
      <c r="Q20" s="677" t="s">
        <v>1064</v>
      </c>
      <c r="R20" s="677" t="s">
        <v>1056</v>
      </c>
      <c r="S20" s="677" t="s">
        <v>672</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705</v>
      </c>
      <c r="B21" s="677">
        <v>35367</v>
      </c>
      <c r="C21" s="677">
        <v>1</v>
      </c>
      <c r="D21" s="677"/>
      <c r="E21" s="677">
        <v>20</v>
      </c>
      <c r="F21" s="677">
        <v>20</v>
      </c>
      <c r="G21" s="678">
        <v>10</v>
      </c>
      <c r="H21" s="678"/>
      <c r="I21" s="677"/>
      <c r="J21" s="677"/>
      <c r="K21" s="677"/>
      <c r="L21" s="677">
        <v>36</v>
      </c>
      <c r="M21" s="678"/>
      <c r="N21" s="678">
        <v>24</v>
      </c>
      <c r="O21" s="677"/>
      <c r="P21" s="677" t="s">
        <v>2861</v>
      </c>
      <c r="Q21" s="677" t="s">
        <v>1064</v>
      </c>
      <c r="R21" s="677" t="s">
        <v>1069</v>
      </c>
      <c r="S21" s="677" t="s">
        <v>676</v>
      </c>
      <c r="T21" s="676"/>
      <c r="U21" s="47"/>
      <c r="V21" s="686"/>
      <c r="W21" s="686" t="s">
        <v>632</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980</v>
      </c>
      <c r="B22" s="677">
        <v>34353</v>
      </c>
      <c r="C22" s="677">
        <v>5</v>
      </c>
      <c r="D22" s="677"/>
      <c r="E22" s="677">
        <v>61</v>
      </c>
      <c r="F22" s="677">
        <v>104</v>
      </c>
      <c r="G22" s="678"/>
      <c r="H22" s="678">
        <v>24</v>
      </c>
      <c r="I22" s="677"/>
      <c r="J22" s="677"/>
      <c r="K22" s="677"/>
      <c r="L22" s="677">
        <v>47</v>
      </c>
      <c r="M22" s="678"/>
      <c r="N22" s="678"/>
      <c r="O22" s="677"/>
      <c r="P22" s="677"/>
      <c r="Q22" s="677" t="s">
        <v>1055</v>
      </c>
      <c r="R22" s="677" t="s">
        <v>1056</v>
      </c>
      <c r="S22" s="677" t="s">
        <v>689</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1079</v>
      </c>
      <c r="B23" s="677">
        <v>27938</v>
      </c>
      <c r="C23" s="677">
        <v>1</v>
      </c>
      <c r="D23" s="677"/>
      <c r="E23" s="677">
        <v>35</v>
      </c>
      <c r="F23" s="677">
        <v>58</v>
      </c>
      <c r="G23" s="678"/>
      <c r="H23" s="678">
        <v>15</v>
      </c>
      <c r="I23" s="677"/>
      <c r="J23" s="677"/>
      <c r="K23" s="677"/>
      <c r="L23" s="677">
        <v>34</v>
      </c>
      <c r="M23" s="678"/>
      <c r="N23" s="678"/>
      <c r="O23" s="677"/>
      <c r="P23" s="677"/>
      <c r="Q23" s="677" t="s">
        <v>1048</v>
      </c>
      <c r="R23" s="677"/>
      <c r="S23" s="677" t="s">
        <v>691</v>
      </c>
      <c r="T23" s="686"/>
      <c r="U23" s="47"/>
      <c r="V23" s="686"/>
      <c r="W23" s="686" t="s">
        <v>632</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998</v>
      </c>
      <c r="B24" s="677">
        <v>31027</v>
      </c>
      <c r="C24" s="677">
        <v>3</v>
      </c>
      <c r="D24" s="677"/>
      <c r="E24" s="677">
        <v>45</v>
      </c>
      <c r="F24" s="677">
        <v>92</v>
      </c>
      <c r="G24" s="678">
        <v>28</v>
      </c>
      <c r="H24" s="678">
        <v>15</v>
      </c>
      <c r="I24" s="677"/>
      <c r="J24" s="677"/>
      <c r="K24" s="677"/>
      <c r="L24" s="677">
        <v>55</v>
      </c>
      <c r="M24" s="678"/>
      <c r="N24" s="678"/>
      <c r="O24" s="677"/>
      <c r="P24" s="677" t="s">
        <v>999</v>
      </c>
      <c r="Q24" s="677" t="s">
        <v>1051</v>
      </c>
      <c r="R24" s="677" t="s">
        <v>2020</v>
      </c>
      <c r="S24" s="677" t="s">
        <v>684</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1000</v>
      </c>
      <c r="B25" s="678">
        <v>31109</v>
      </c>
      <c r="C25" s="678">
        <v>1</v>
      </c>
      <c r="D25" s="677"/>
      <c r="E25" s="677">
        <v>24</v>
      </c>
      <c r="F25" s="677">
        <v>60</v>
      </c>
      <c r="G25" s="678"/>
      <c r="H25" s="678">
        <v>13</v>
      </c>
      <c r="I25" s="678"/>
      <c r="J25" s="677"/>
      <c r="K25" s="678"/>
      <c r="L25" s="677">
        <v>18</v>
      </c>
      <c r="M25" s="678"/>
      <c r="N25" s="678"/>
      <c r="O25" s="678"/>
      <c r="P25" s="677"/>
      <c r="Q25" s="677" t="s">
        <v>1001</v>
      </c>
      <c r="R25" s="677" t="s">
        <v>1065</v>
      </c>
      <c r="S25" s="677" t="s">
        <v>675</v>
      </c>
      <c r="T25" s="686"/>
      <c r="U25" s="686"/>
      <c r="V25" s="686"/>
      <c r="W25" s="686" t="s">
        <v>632</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1002</v>
      </c>
      <c r="B26" s="677">
        <v>31333</v>
      </c>
      <c r="C26" s="677">
        <v>1</v>
      </c>
      <c r="D26" s="677"/>
      <c r="E26" s="677">
        <v>45</v>
      </c>
      <c r="F26" s="677">
        <v>68</v>
      </c>
      <c r="G26" s="678"/>
      <c r="H26" s="678"/>
      <c r="I26" s="677"/>
      <c r="J26" s="677"/>
      <c r="K26" s="677"/>
      <c r="L26" s="677">
        <v>27</v>
      </c>
      <c r="M26" s="678"/>
      <c r="N26" s="678"/>
      <c r="O26" s="677"/>
      <c r="P26" s="677"/>
      <c r="Q26" s="677" t="s">
        <v>1048</v>
      </c>
      <c r="R26" s="677"/>
      <c r="S26" s="677" t="s">
        <v>674</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1525</v>
      </c>
      <c r="B27" s="677">
        <v>33701</v>
      </c>
      <c r="C27" s="677">
        <v>3</v>
      </c>
      <c r="D27" s="677"/>
      <c r="E27" s="677">
        <v>31</v>
      </c>
      <c r="F27" s="677">
        <v>52</v>
      </c>
      <c r="G27" s="678">
        <v>21</v>
      </c>
      <c r="H27" s="678">
        <v>12</v>
      </c>
      <c r="I27" s="677"/>
      <c r="J27" s="677">
        <v>84</v>
      </c>
      <c r="K27" s="677"/>
      <c r="L27" s="677">
        <v>65</v>
      </c>
      <c r="M27" s="678"/>
      <c r="N27" s="678">
        <v>25</v>
      </c>
      <c r="O27" s="677"/>
      <c r="P27" s="677" t="s">
        <v>1068</v>
      </c>
      <c r="Q27" s="677" t="s">
        <v>1064</v>
      </c>
      <c r="R27" s="677" t="s">
        <v>1069</v>
      </c>
      <c r="S27" s="677" t="s">
        <v>677</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1003</v>
      </c>
      <c r="B28" s="677">
        <v>28224</v>
      </c>
      <c r="C28" s="677">
        <v>1</v>
      </c>
      <c r="D28" s="677"/>
      <c r="E28" s="677"/>
      <c r="F28" s="677">
        <v>56</v>
      </c>
      <c r="G28" s="678">
        <v>22</v>
      </c>
      <c r="H28" s="678">
        <v>18</v>
      </c>
      <c r="I28" s="677"/>
      <c r="J28" s="677"/>
      <c r="K28" s="677"/>
      <c r="L28" s="677">
        <v>30</v>
      </c>
      <c r="M28" s="678"/>
      <c r="N28" s="678"/>
      <c r="O28" s="677"/>
      <c r="P28" s="677" t="s">
        <v>1004</v>
      </c>
      <c r="Q28" s="677" t="s">
        <v>1055</v>
      </c>
      <c r="R28" s="677" t="s">
        <v>1065</v>
      </c>
      <c r="S28" s="677" t="s">
        <v>691</v>
      </c>
      <c r="T28" s="47"/>
      <c r="U28" s="47"/>
      <c r="V28" s="47"/>
      <c r="W28" s="47" t="s">
        <v>632</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2207</v>
      </c>
      <c r="B30" s="708"/>
      <c r="C30" s="708"/>
      <c r="D30" s="709"/>
      <c r="E30" s="709"/>
      <c r="F30" s="709"/>
      <c r="G30" s="708"/>
      <c r="H30" s="708"/>
      <c r="I30" s="708"/>
      <c r="J30" s="677"/>
      <c r="K30" s="708"/>
      <c r="L30" s="709"/>
      <c r="M30" s="708"/>
      <c r="N30" s="708"/>
      <c r="O30" s="708"/>
      <c r="P30" s="708"/>
      <c r="Q30" s="677" t="s">
        <v>1048</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1005</v>
      </c>
      <c r="B33" s="729" t="s">
        <v>1934</v>
      </c>
      <c r="C33" s="729" t="s">
        <v>2798</v>
      </c>
      <c r="D33" s="730" t="s">
        <v>1214</v>
      </c>
      <c r="E33" s="730" t="s">
        <v>1215</v>
      </c>
      <c r="F33" s="730" t="s">
        <v>768</v>
      </c>
      <c r="G33" s="729" t="s">
        <v>2140</v>
      </c>
      <c r="H33" s="729" t="s">
        <v>2139</v>
      </c>
      <c r="I33" s="729" t="s">
        <v>771</v>
      </c>
      <c r="J33" s="731" t="s">
        <v>770</v>
      </c>
      <c r="K33" s="729" t="s">
        <v>760</v>
      </c>
      <c r="L33" s="730" t="s">
        <v>1216</v>
      </c>
      <c r="M33" s="729" t="s">
        <v>264</v>
      </c>
      <c r="N33" s="729" t="s">
        <v>1217</v>
      </c>
      <c r="O33" s="729" t="s">
        <v>1287</v>
      </c>
      <c r="P33" s="729" t="s">
        <v>1046</v>
      </c>
      <c r="Q33" s="730" t="s">
        <v>1047</v>
      </c>
      <c r="R33" s="730" t="s">
        <v>1941</v>
      </c>
      <c r="S33" s="730" t="s">
        <v>666</v>
      </c>
      <c r="T33" s="729"/>
      <c r="U33" s="729"/>
      <c r="V33" s="729"/>
      <c r="W33" s="729" t="s">
        <v>921</v>
      </c>
      <c r="X33" s="729"/>
      <c r="Y33" s="732" t="s">
        <v>265</v>
      </c>
      <c r="Z33" s="733"/>
      <c r="AA33" s="733">
        <v>0</v>
      </c>
      <c r="AB33" s="865"/>
      <c r="AC33" s="734" t="s">
        <v>1689</v>
      </c>
    </row>
    <row r="34" spans="1:29">
      <c r="A34" s="694" t="s">
        <v>1006</v>
      </c>
      <c r="B34" s="695">
        <v>2585</v>
      </c>
      <c r="C34" s="695">
        <v>1</v>
      </c>
      <c r="D34" s="695"/>
      <c r="E34" s="695"/>
      <c r="F34" s="695">
        <v>28</v>
      </c>
      <c r="G34" s="696"/>
      <c r="H34" s="696"/>
      <c r="I34" s="696"/>
      <c r="J34" s="696"/>
      <c r="K34" s="696"/>
      <c r="L34" s="695"/>
      <c r="M34" s="696">
        <v>12</v>
      </c>
      <c r="N34" s="696"/>
      <c r="O34" s="696"/>
      <c r="P34" s="696"/>
      <c r="Q34" s="696"/>
      <c r="R34" s="696"/>
      <c r="S34" s="696" t="s">
        <v>1689</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row>
    <row r="35" spans="1:29">
      <c r="A35" s="676" t="s">
        <v>465</v>
      </c>
      <c r="B35" s="677">
        <v>3003</v>
      </c>
      <c r="C35" s="677">
        <v>1</v>
      </c>
      <c r="D35" s="677"/>
      <c r="E35" s="677"/>
      <c r="F35" s="677">
        <v>34</v>
      </c>
      <c r="G35" s="678"/>
      <c r="H35" s="678">
        <v>16</v>
      </c>
      <c r="I35" s="678"/>
      <c r="J35" s="678"/>
      <c r="K35" s="678"/>
      <c r="L35" s="677"/>
      <c r="M35" s="678"/>
      <c r="N35" s="678"/>
      <c r="O35" s="678"/>
      <c r="P35" s="678"/>
      <c r="Q35" s="678"/>
      <c r="R35" s="677"/>
      <c r="S35" s="678" t="s">
        <v>1689</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2158</v>
      </c>
      <c r="B36" s="677">
        <v>2999</v>
      </c>
      <c r="C36" s="677">
        <v>1</v>
      </c>
      <c r="D36" s="677"/>
      <c r="E36" s="677"/>
      <c r="F36" s="677"/>
      <c r="G36" s="678"/>
      <c r="H36" s="678"/>
      <c r="I36" s="678"/>
      <c r="J36" s="678"/>
      <c r="K36" s="678"/>
      <c r="L36" s="677"/>
      <c r="M36" s="678">
        <v>17</v>
      </c>
      <c r="N36" s="678"/>
      <c r="O36" s="678">
        <v>16</v>
      </c>
      <c r="P36" s="678"/>
      <c r="Q36" s="678"/>
      <c r="R36" s="678"/>
      <c r="S36" s="678" t="s">
        <v>1689</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1104</v>
      </c>
      <c r="B37" s="677">
        <v>2543</v>
      </c>
      <c r="C37" s="677">
        <v>1</v>
      </c>
      <c r="D37" s="677"/>
      <c r="E37" s="677"/>
      <c r="F37" s="677"/>
      <c r="G37" s="678"/>
      <c r="H37" s="678"/>
      <c r="I37" s="678">
        <v>10</v>
      </c>
      <c r="J37" s="678"/>
      <c r="K37" s="678"/>
      <c r="L37" s="677"/>
      <c r="M37" s="678"/>
      <c r="N37" s="678"/>
      <c r="O37" s="678"/>
      <c r="P37" s="678"/>
      <c r="Q37" s="678"/>
      <c r="R37" s="678"/>
      <c r="S37" s="678" t="s">
        <v>1689</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1105</v>
      </c>
      <c r="B38" s="677">
        <v>1508</v>
      </c>
      <c r="C38" s="677">
        <v>1</v>
      </c>
      <c r="D38" s="677"/>
      <c r="E38" s="677">
        <v>8</v>
      </c>
      <c r="F38" s="677"/>
      <c r="G38" s="678"/>
      <c r="H38" s="678"/>
      <c r="I38" s="678"/>
      <c r="J38" s="678"/>
      <c r="K38" s="678"/>
      <c r="L38" s="677"/>
      <c r="M38" s="678"/>
      <c r="N38" s="678"/>
      <c r="O38" s="678"/>
      <c r="P38" s="678"/>
      <c r="Q38" s="678"/>
      <c r="R38" s="678"/>
      <c r="S38" s="678" t="s">
        <v>1689</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2207</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stopIfTrue="1" operator="lessThan">
      <formula>0</formula>
    </cfRule>
    <cfRule type="cellIs" dxfId="4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AD2" sqref="AD2"/>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437</v>
      </c>
    </row>
    <row r="2" spans="1:25">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Adamantine Chain of the Unbroken</v>
      </c>
    </row>
    <row r="3" spans="1:25">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5" si="0">HYPERLINK("https://tbc.wowhead.com/item="&amp;B3,A3)</f>
        <v>Amulet of Bitter Hatred</v>
      </c>
    </row>
    <row r="4" spans="1:25">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8" si="1">IF(ISNA(INDEX($A$2:$A$36,MATCH(W4,V$2:V$36,0))), "", INDEX($A$2:$A$36,MATCH(W4,V$2:V$36,0)))</f>
        <v>Adamantine Chain of the Unbroken</v>
      </c>
      <c r="Y4" s="1392" t="str">
        <f t="shared" si="0"/>
        <v>Blood Guard's Necklace of Ferocity</v>
      </c>
    </row>
    <row r="5" spans="1:25">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si="1"/>
        <v>Bone Chain Necklace</v>
      </c>
      <c r="Y6" s="1392" t="str">
        <f t="shared" si="0"/>
        <v>Braided Eternium Chain (w/ +28crit)</v>
      </c>
    </row>
    <row r="7" spans="1:25">
      <c r="A7" s="721"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0">
        <f>($D7*dpsStr+$E7*dpsAgi+$G7*dpsCrit+$H7*dpsHit+$F7*dpsAP+$I7*dpsHaste+$J7*dpsArmor+$K7*dpsExp+IF(MID($Q7,1,1)+MID($Q7,3,1)+MID($Q7,5,1)&gt;0,VLOOKUP('Gear &amp; Buffs'!$B$33,GenSocketStats,18,FALSE)+IF(MID($Q7,1,1)+MID($Q7,3,1)+MID($Q7,5,1)&gt;1,VLOOKUP('Gear &amp; Buffs'!$B$34,GenSocketStats,18,FALSE),0),0))-'Gear &amp; Buffs'!$AF$32</f>
        <v>15.398820468810754</v>
      </c>
      <c r="V7" s="220"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Braided Eternium Chain (w/ +28crit)</v>
      </c>
      <c r="Y7" s="1392" t="str">
        <f t="shared" si="0"/>
        <v>Brooch of Deftness</v>
      </c>
    </row>
    <row r="8" spans="1:25">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0">
        <f>($D8*dpsStr+$E8*dpsAgi+$G8*dpsCrit+$H8*dpsHit+$F8*dpsAP+$I8*dpsHaste+$J8*dpsArmor+$K8*dpsExp+IF(MID($Q8,1,1)+MID($Q8,3,1)+MID($Q8,5,1)&gt;0,VLOOKUP('Gear &amp; Buffs'!$B$33,GenSocketStats,18,FALSE)+IF(MID($Q8,1,1)+MID($Q8,3,1)+MID($Q8,5,1)&gt;1,VLOOKUP('Gear &amp; Buffs'!$B$34,GenSocketStats,18,FALSE),0),0))-'Gear &amp; Buffs'!$AF$32</f>
        <v>-92.81024819945651</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Choker of Vile Intent</v>
      </c>
      <c r="Y8" s="1392" t="str">
        <f t="shared" si="0"/>
        <v>Choker of Animalistic Fury</v>
      </c>
    </row>
    <row r="9" spans="1:25">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0">
        <f>($D9*dpsStr+$E9*dpsAgi+$G9*dpsCrit+$H9*dpsHit+$F9*dpsAP+$I9*dpsHaste+$J9*dpsArmor+$K9*dpsExp+IF(MID($Q9,1,1)+MID($Q9,3,1)+MID($Q9,5,1)&gt;0,VLOOKUP('Gear &amp; Buffs'!$B$33,GenSocketStats,18,FALSE)+IF(MID($Q9,1,1)+MID($Q9,3,1)+MID($Q9,5,1)&gt;1,VLOOKUP('Gear &amp; Buffs'!$B$34,GenSocketStats,18,FALSE),0),0))-'Gear &amp; Buffs'!$AF$32</f>
        <v>29.34223803909299</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Earthen Mark of Razing</v>
      </c>
      <c r="Y9" s="1392" t="str">
        <f t="shared" si="0"/>
        <v>Choker of Endless Nightmares</v>
      </c>
    </row>
    <row r="10" spans="1:25">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0">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Haramad's Bargain</v>
      </c>
      <c r="Y10" s="1392" t="str">
        <f t="shared" si="0"/>
        <v>Choker of Serrated Blades</v>
      </c>
    </row>
    <row r="11" spans="1:25">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0">
        <f>($D11*dpsStr+$E11*dpsAgi+$G11*dpsCrit+$H11*dpsHit+$F11*dpsAP+$I11*dpsHaste+$J11*dpsArmor+$K11*dpsExp+IF(MID($Q11,1,1)+MID($Q11,3,1)+MID($Q11,5,1)&gt;0,VLOOKUP('Gear &amp; Buffs'!$B$33,GenSocketStats,18,FALSE)+IF(MID($Q11,1,1)+MID($Q11,3,1)+MID($Q11,5,1)&gt;1,VLOOKUP('Gear &amp; Buffs'!$B$34,GenSocketStats,18,FALSE),0),0))-'Gear &amp; Buffs'!$AF$32</f>
        <v>0</v>
      </c>
      <c r="V11" s="220">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Insignia of the Mag'hari Hero</v>
      </c>
      <c r="Y11" s="1392" t="str">
        <f t="shared" si="0"/>
        <v>Choker of Vile Intent</v>
      </c>
    </row>
    <row r="12" spans="1:25">
      <c r="A12" s="10" t="s">
        <v>2027</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0">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Jagged Bark Pendant</v>
      </c>
      <c r="Y12" s="1392" t="str">
        <f t="shared" si="0"/>
        <v>Clutch of Demise</v>
      </c>
    </row>
    <row r="13" spans="1:25">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0">
        <f>($D13*dpsStr+$E13*dpsAgi+$G13*dpsCrit+$H13*dpsHit+$F13*dpsAP+$I13*dpsHaste+$J13*dpsArmor+$K13*dpsExp+IF(MID($Q13,1,1)+MID($Q13,3,1)+MID($Q13,5,1)&gt;0,VLOOKUP('Gear &amp; Buffs'!$B$33,GenSocketStats,18,FALSE)+IF(MID($Q13,1,1)+MID($Q13,3,1)+MID($Q13,5,1)&gt;1,VLOOKUP('Gear &amp; Buffs'!$B$34,GenSocketStats,18,FALSE),0),0))-'Gear &amp; Buffs'!$AF$32</f>
        <v>-33.12977929644444</v>
      </c>
      <c r="V13" s="220">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Natasha's Choker</v>
      </c>
      <c r="Y13" s="1392" t="str">
        <f t="shared" si="0"/>
        <v>Earthen Mark of Razing</v>
      </c>
    </row>
    <row r="14" spans="1:25">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0">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0"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Necklace of Trophies</v>
      </c>
      <c r="Y14" s="1392" t="str">
        <f t="shared" si="0"/>
        <v>Guardian's Pendant of Triumph</v>
      </c>
    </row>
    <row r="15" spans="1:25">
      <c r="A15" s="10" t="s">
        <v>2808</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0">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Pendant of Triumph</v>
      </c>
      <c r="Y15" s="1392" t="str">
        <f t="shared" si="0"/>
        <v>Haramad's Bargain</v>
      </c>
    </row>
    <row r="16" spans="1:25">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0">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0"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Prestor's Talisman of Connivery</v>
      </c>
      <c r="Y16" s="1392" t="str">
        <f t="shared" si="0"/>
        <v>Hard Khorium Choker</v>
      </c>
    </row>
    <row r="17" spans="1:25">
      <c r="A17" s="10" t="s">
        <v>2809</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0">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0">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Saberclaw Talisman</v>
      </c>
      <c r="Y17" s="1392" t="str">
        <f t="shared" si="0"/>
        <v>Insignia of the Mag'hari Hero</v>
      </c>
    </row>
    <row r="18" spans="1:25">
      <c r="A18" s="10" t="s">
        <v>2810</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0">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Talon Lord's Collar</v>
      </c>
      <c r="Y18" s="1392" t="str">
        <f t="shared" si="0"/>
        <v>Jagged Bark Pendant</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0">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Traitor's Noose</v>
      </c>
      <c r="Y19" s="1392" t="str">
        <f t="shared" si="0"/>
        <v>Natasha's Choker</v>
      </c>
    </row>
    <row r="20" spans="1:25">
      <c r="A20" s="10" t="s">
        <v>2811</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Worgen Claw Necklace</v>
      </c>
      <c r="Y20" s="1392" t="str">
        <f t="shared" si="0"/>
        <v>Necklace of Trophies</v>
      </c>
    </row>
    <row r="21" spans="1:25" s="62" customFormat="1" ht="12.75">
      <c r="A21" s="10" t="s">
        <v>2484</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0">
        <f>($D21*dpsStr+$E21*dpsAgi+$G21*dpsCrit+$H21*dpsHit+$F21*dpsAP+$I21*dpsHaste+$J21*dpsArmor+$K21*dpsExp+IF(MID($Q21,1,1)+MID($Q21,3,1)+MID($Q21,5,1)&gt;0,VLOOKUP('Gear &amp; Buffs'!$B$33,GenSocketStats,18,FALSE)+IF(MID($Q21,1,1)+MID($Q21,3,1)+MID($Q21,5,1)&gt;1,VLOOKUP('Gear &amp; Buffs'!$B$34,GenSocketStats,18,FALSE),0),0))-'Gear &amp; Buffs'!$AF$32</f>
        <v>-86.22186354917585</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(Unmodeled)</v>
      </c>
      <c r="Y21" s="1392" t="str">
        <f t="shared" si="0"/>
        <v>Pendant of Triumph</v>
      </c>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0">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Prestor's Talisman of Connivery</v>
      </c>
    </row>
    <row r="23" spans="1:25" s="62" customFormat="1" ht="12.75">
      <c r="A23" s="130" t="s">
        <v>2485</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0">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Saberclaw Talisman</v>
      </c>
    </row>
    <row r="24" spans="1:25" s="47" customFormat="1">
      <c r="A24" s="10" t="s">
        <v>2029</v>
      </c>
      <c r="B24" s="116">
        <v>34679</v>
      </c>
      <c r="C24" s="116">
        <v>5</v>
      </c>
      <c r="D24" s="114"/>
      <c r="E24" s="114">
        <v>18</v>
      </c>
      <c r="F24" s="124">
        <f>64+200*itSSPMAup</f>
        <v>105.74299188471673</v>
      </c>
      <c r="G24" s="116"/>
      <c r="H24" s="116"/>
      <c r="I24" s="116"/>
      <c r="J24" s="114"/>
      <c r="K24" s="116"/>
      <c r="L24" s="114">
        <v>19</v>
      </c>
      <c r="M24" s="116"/>
      <c r="N24" s="114"/>
      <c r="O24" s="116"/>
      <c r="P24" s="114"/>
      <c r="Q24" s="114" t="s">
        <v>1033</v>
      </c>
      <c r="R24" s="114"/>
      <c r="S24" s="114" t="s">
        <v>676</v>
      </c>
      <c r="T24" s="116" t="s">
        <v>977</v>
      </c>
      <c r="U24" s="890">
        <f>($D24*dpsStr+$E24*dpsAgi+$G24*dpsCrit+$H24*dpsHit+$F24*dpsAP+$I24*dpsHaste+$J24*dpsArmor+$K24*dpsExp+IF(MID($Q24,1,1)+MID($Q24,3,1)+MID($Q24,5,1)&gt;0,VLOOKUP('Gear &amp; Buffs'!$B$33,GenSocketStats,18,FALSE)+IF(MID($Q24,1,1)+MID($Q24,3,1)+MID($Q24,5,1)&gt;1,VLOOKUP('Gear &amp; Buffs'!$B$34,GenSocketStats,18,FALSE),0),0))-'Gear &amp; Buffs'!$AF$32</f>
        <v>-78.777707208707483</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Shattered Sun Pendant of Might (Aldor)</v>
      </c>
    </row>
    <row r="25" spans="1:25">
      <c r="A25" s="10" t="s">
        <v>2030</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0">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(Scryer)</v>
      </c>
    </row>
    <row r="26" spans="1:25">
      <c r="A26" s="10" t="s">
        <v>2486</v>
      </c>
      <c r="B26" s="116">
        <v>34680</v>
      </c>
      <c r="C26" s="116">
        <v>5</v>
      </c>
      <c r="D26" s="114"/>
      <c r="E26" s="114"/>
      <c r="F26" s="114"/>
      <c r="G26" s="116"/>
      <c r="H26" s="116">
        <v>13</v>
      </c>
      <c r="I26" s="116"/>
      <c r="J26" s="114"/>
      <c r="K26" s="116">
        <v>18</v>
      </c>
      <c r="L26" s="114">
        <v>48</v>
      </c>
      <c r="M26" s="124">
        <f>100*itSSPRAup</f>
        <v>20.871495942358369</v>
      </c>
      <c r="N26" s="114"/>
      <c r="O26" s="116"/>
      <c r="P26" s="114"/>
      <c r="Q26" s="114" t="s">
        <v>1033</v>
      </c>
      <c r="R26" s="114"/>
      <c r="S26" s="114" t="s">
        <v>676</v>
      </c>
      <c r="T26" s="116" t="s">
        <v>977</v>
      </c>
      <c r="U26" s="890">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Resolve (Aldor)</v>
      </c>
    </row>
    <row r="27" spans="1:25">
      <c r="A27" s="10" t="s">
        <v>2031</v>
      </c>
      <c r="B27" s="116">
        <v>34680</v>
      </c>
      <c r="C27" s="116">
        <v>5</v>
      </c>
      <c r="D27" s="114"/>
      <c r="E27" s="114"/>
      <c r="F27" s="114"/>
      <c r="G27" s="116"/>
      <c r="H27" s="116">
        <v>13</v>
      </c>
      <c r="I27" s="116"/>
      <c r="J27" s="114"/>
      <c r="K27" s="124">
        <f>18+100*itSSPRSup</f>
        <v>38.871495942358365</v>
      </c>
      <c r="L27" s="114">
        <v>48</v>
      </c>
      <c r="M27" s="116"/>
      <c r="N27" s="114"/>
      <c r="O27" s="116"/>
      <c r="P27" s="114"/>
      <c r="Q27" s="114" t="s">
        <v>1033</v>
      </c>
      <c r="R27" s="114"/>
      <c r="S27" s="114" t="s">
        <v>676</v>
      </c>
      <c r="T27" s="116" t="s">
        <v>977</v>
      </c>
      <c r="U27" s="890">
        <f>($D27*dpsStr+$E27*dpsAgi+$G27*dpsCrit+$H27*dpsHit+$F27*dpsAP+$I27*dpsHaste+$J27*dpsArmor+$K27*dpsExp+IF(MID($Q27,1,1)+MID($Q27,3,1)+MID($Q27,5,1)&gt;0,VLOOKUP('Gear &amp; Buffs'!$B$33,GenSocketStats,18,FALSE)+IF(MID($Q27,1,1)+MID($Q27,3,1)+MID($Q27,5,1)&gt;1,VLOOKUP('Gear &amp; Buffs'!$B$34,GenSocketStats,18,FALSE),0),0))-'Gear &amp; Buffs'!$AF$32</f>
        <v>-13.487936287584532</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(Scryer)</v>
      </c>
    </row>
    <row r="28" spans="1:25">
      <c r="A28" s="10" t="s">
        <v>2337</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0">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Sin'dorei Pendant of Triumph</v>
      </c>
    </row>
    <row r="29" spans="1:25">
      <c r="A29" s="10" t="s">
        <v>2487</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0">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0">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Talon Lord's Collar</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0">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Telonicus's Pendant of Mayhem</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0">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The Savage's Choker</v>
      </c>
    </row>
    <row r="32" spans="1:25">
      <c r="A32" s="10" t="s">
        <v>2488</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0">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0">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Traitor's Noose</v>
      </c>
    </row>
    <row r="33" spans="1:25">
      <c r="A33" s="10" t="s">
        <v>2489</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0">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Veteran's Pendant of Triumph</v>
      </c>
    </row>
    <row r="34" spans="1:25">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0">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Vindicator's Pendant of Triumph</v>
      </c>
    </row>
    <row r="35" spans="1:25">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0">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0">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7">
        <v>32</v>
      </c>
      <c r="X35" s="713" t="str">
        <f t="shared" si="1"/>
        <v/>
      </c>
      <c r="Y35" s="1392" t="str">
        <f t="shared" si="0"/>
        <v>Worgen Claw Necklace</v>
      </c>
    </row>
    <row r="36" spans="1:25">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19">
        <f>'Gear &amp; Buffs'!$S$157</f>
        <v>0</v>
      </c>
      <c r="S36" s="116"/>
      <c r="T36" s="114"/>
      <c r="U36" s="890">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0">
        <f>MAX($V$1:V35)+1</f>
        <v>18</v>
      </c>
      <c r="W36" s="737">
        <v>33</v>
      </c>
      <c r="X36" s="713" t="str">
        <f t="shared" si="1"/>
        <v/>
      </c>
      <c r="Y36" s="1392"/>
    </row>
    <row r="37" spans="1:25">
      <c r="A37" s="126" t="s">
        <v>2207</v>
      </c>
      <c r="B37" s="113"/>
      <c r="C37" s="113"/>
      <c r="D37" s="112"/>
      <c r="E37" s="112"/>
      <c r="F37" s="112"/>
      <c r="G37" s="113"/>
      <c r="H37" s="113"/>
      <c r="I37" s="113"/>
      <c r="J37" s="114"/>
      <c r="K37" s="113"/>
      <c r="L37" s="112"/>
      <c r="M37" s="113"/>
      <c r="N37" s="112"/>
      <c r="O37" s="113"/>
      <c r="P37" s="113"/>
      <c r="Q37" s="114" t="s">
        <v>1033</v>
      </c>
      <c r="R37" s="114"/>
      <c r="S37" s="114"/>
      <c r="T37" s="113"/>
      <c r="U37" s="720"/>
      <c r="V37" s="680"/>
      <c r="W37" s="737">
        <v>34</v>
      </c>
      <c r="X37" s="713" t="str">
        <f t="shared" si="1"/>
        <v/>
      </c>
    </row>
    <row r="38" spans="1:25">
      <c r="R38" s="114"/>
      <c r="S38" s="114"/>
      <c r="T38" s="114"/>
      <c r="V38" s="680"/>
      <c r="W38" s="737">
        <v>35</v>
      </c>
      <c r="X38" s="713" t="str">
        <f t="shared" si="1"/>
        <v/>
      </c>
    </row>
    <row r="39" spans="1:25">
      <c r="R39" s="114"/>
      <c r="S39" s="114"/>
      <c r="T39" s="114"/>
      <c r="W39" s="677"/>
      <c r="X39" s="676"/>
    </row>
    <row r="40" spans="1:25">
      <c r="A40" s="126"/>
      <c r="B40" s="114"/>
      <c r="C40" s="114"/>
      <c r="D40" s="114"/>
      <c r="E40" s="114"/>
      <c r="F40" s="127"/>
      <c r="G40" s="114"/>
      <c r="H40" s="114"/>
      <c r="I40" s="114"/>
      <c r="J40" s="116"/>
      <c r="K40" s="116"/>
      <c r="L40" s="116"/>
      <c r="M40" s="116"/>
      <c r="N40" s="114"/>
      <c r="O40" s="114"/>
      <c r="P40" s="114"/>
      <c r="Q40" s="114"/>
      <c r="R40" s="114"/>
      <c r="S40" s="114"/>
      <c r="T40" s="114"/>
      <c r="V40" s="114"/>
      <c r="W40" s="677"/>
      <c r="X40" s="676"/>
    </row>
    <row r="41" spans="1:25">
      <c r="A41" s="169"/>
      <c r="B41" s="170"/>
      <c r="C41" s="170"/>
      <c r="D41" s="170"/>
      <c r="E41" s="170"/>
      <c r="F41" s="171"/>
      <c r="G41" s="171"/>
      <c r="H41" s="170"/>
      <c r="I41" s="171"/>
      <c r="J41" s="170"/>
      <c r="K41" s="171"/>
      <c r="L41" s="171"/>
      <c r="M41" s="171"/>
      <c r="N41" s="171"/>
      <c r="O41" s="171"/>
      <c r="P41" s="171"/>
      <c r="Q41" s="170"/>
      <c r="R41" s="114"/>
      <c r="S41" s="114"/>
      <c r="T41" s="114"/>
    </row>
    <row r="42" spans="1:25">
      <c r="A42" s="10"/>
      <c r="B42" s="114"/>
      <c r="C42" s="114"/>
      <c r="D42" s="114"/>
      <c r="E42" s="114"/>
      <c r="F42" s="116"/>
      <c r="G42" s="116"/>
      <c r="H42" s="114"/>
      <c r="I42" s="116"/>
      <c r="J42" s="114"/>
      <c r="K42" s="116"/>
      <c r="L42" s="116"/>
      <c r="M42" s="116"/>
      <c r="N42" s="116"/>
      <c r="O42" s="116"/>
      <c r="P42" s="114"/>
      <c r="Q42" s="114"/>
      <c r="R42" s="114"/>
      <c r="S42" s="114"/>
      <c r="T42" s="114"/>
    </row>
    <row r="43" spans="1:25">
      <c r="F43" s="171"/>
      <c r="G43" s="171"/>
      <c r="H43" s="170"/>
      <c r="I43" s="171"/>
      <c r="J43" s="170"/>
      <c r="K43" s="171"/>
      <c r="L43" s="171"/>
      <c r="M43" s="171"/>
      <c r="N43" s="171"/>
      <c r="O43" s="171"/>
      <c r="P43" s="170"/>
      <c r="Q43" s="170"/>
    </row>
    <row r="44" spans="1:25">
      <c r="F44" s="171"/>
      <c r="G44" s="171"/>
      <c r="H44" s="170"/>
      <c r="I44" s="171"/>
      <c r="J44" s="170"/>
      <c r="K44" s="171"/>
      <c r="L44" s="171"/>
      <c r="M44" s="171"/>
      <c r="N44" s="171"/>
      <c r="O44" s="171"/>
      <c r="P44" s="170"/>
      <c r="Q44" s="170"/>
    </row>
    <row r="45" spans="1:25">
      <c r="A45" s="6"/>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1"/>
      <c r="Q47" s="170"/>
    </row>
    <row r="48" spans="1:25">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X34" sqref="X34:X4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660</v>
      </c>
    </row>
    <row r="2" spans="1:25">
      <c r="A2" s="694" t="s">
        <v>2812</v>
      </c>
      <c r="B2" s="695">
        <v>30938</v>
      </c>
      <c r="C2" s="695">
        <v>1</v>
      </c>
      <c r="D2" s="695"/>
      <c r="E2" s="695"/>
      <c r="F2" s="695">
        <v>44</v>
      </c>
      <c r="G2" s="696">
        <v>21</v>
      </c>
      <c r="H2" s="696">
        <v>10</v>
      </c>
      <c r="I2" s="695"/>
      <c r="J2" s="695"/>
      <c r="K2" s="695"/>
      <c r="L2" s="695">
        <v>11</v>
      </c>
      <c r="M2" s="696"/>
      <c r="N2" s="696"/>
      <c r="O2" s="695"/>
      <c r="P2" s="695"/>
      <c r="Q2" s="695" t="s">
        <v>1033</v>
      </c>
      <c r="R2" s="695"/>
      <c r="S2" s="695" t="s">
        <v>675</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Azurestrike Shoulders</v>
      </c>
    </row>
    <row r="3" spans="1:25">
      <c r="A3" s="735" t="s">
        <v>1569</v>
      </c>
      <c r="B3" s="695">
        <v>29148</v>
      </c>
      <c r="C3" s="695">
        <v>1</v>
      </c>
      <c r="D3" s="695"/>
      <c r="E3" s="695">
        <v>20</v>
      </c>
      <c r="F3" s="695">
        <v>70</v>
      </c>
      <c r="G3" s="696"/>
      <c r="H3" s="696">
        <v>15</v>
      </c>
      <c r="I3" s="695"/>
      <c r="J3" s="695"/>
      <c r="K3" s="695"/>
      <c r="L3" s="695"/>
      <c r="M3" s="696"/>
      <c r="N3" s="696"/>
      <c r="O3" s="695"/>
      <c r="P3" s="695"/>
      <c r="Q3" s="695" t="s">
        <v>1033</v>
      </c>
      <c r="R3" s="695"/>
      <c r="S3" s="695" t="s">
        <v>676</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1445</v>
      </c>
      <c r="B4" s="677">
        <v>28755</v>
      </c>
      <c r="C4" s="677">
        <v>1</v>
      </c>
      <c r="D4" s="677"/>
      <c r="E4" s="677"/>
      <c r="F4" s="677">
        <v>58</v>
      </c>
      <c r="G4" s="678">
        <v>21</v>
      </c>
      <c r="H4" s="678">
        <v>13</v>
      </c>
      <c r="I4" s="677"/>
      <c r="J4" s="677"/>
      <c r="K4" s="677"/>
      <c r="L4" s="677">
        <v>30</v>
      </c>
      <c r="M4" s="678"/>
      <c r="N4" s="678"/>
      <c r="O4" s="677"/>
      <c r="P4" s="677"/>
      <c r="Q4" s="677" t="s">
        <v>1446</v>
      </c>
      <c r="R4" s="677" t="s">
        <v>1447</v>
      </c>
      <c r="S4" s="677" t="s">
        <v>672</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2338</v>
      </c>
      <c r="B5" s="677">
        <v>22479</v>
      </c>
      <c r="C5" s="677">
        <v>1</v>
      </c>
      <c r="D5" s="677">
        <v>22</v>
      </c>
      <c r="E5" s="677">
        <v>22</v>
      </c>
      <c r="F5" s="677"/>
      <c r="G5" s="678">
        <v>14</v>
      </c>
      <c r="H5" s="678">
        <v>10</v>
      </c>
      <c r="I5" s="677"/>
      <c r="J5" s="677"/>
      <c r="K5" s="677"/>
      <c r="L5" s="677">
        <v>15</v>
      </c>
      <c r="M5" s="678"/>
      <c r="N5" s="678"/>
      <c r="O5" s="677"/>
      <c r="P5" s="677" t="s">
        <v>2335</v>
      </c>
      <c r="Q5" s="677" t="s">
        <v>1033</v>
      </c>
      <c r="R5" s="677"/>
      <c r="S5" s="677" t="s">
        <v>668</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1487</v>
      </c>
      <c r="B6" s="677">
        <v>35035</v>
      </c>
      <c r="C6" s="677">
        <v>5</v>
      </c>
      <c r="D6" s="677"/>
      <c r="E6" s="677">
        <v>39</v>
      </c>
      <c r="F6" s="677">
        <v>38</v>
      </c>
      <c r="G6" s="678">
        <v>31</v>
      </c>
      <c r="H6" s="678"/>
      <c r="I6" s="677"/>
      <c r="J6" s="677"/>
      <c r="K6" s="677"/>
      <c r="L6" s="677">
        <v>55</v>
      </c>
      <c r="M6" s="678"/>
      <c r="N6" s="678">
        <v>25</v>
      </c>
      <c r="O6" s="677"/>
      <c r="P6" s="677" t="s">
        <v>1068</v>
      </c>
      <c r="Q6" s="677" t="s">
        <v>1045</v>
      </c>
      <c r="R6" s="677" t="s">
        <v>1452</v>
      </c>
      <c r="S6" s="677" t="s">
        <v>677</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1448</v>
      </c>
      <c r="B7" s="677">
        <v>30149</v>
      </c>
      <c r="C7" s="677">
        <v>2</v>
      </c>
      <c r="D7" s="677"/>
      <c r="E7" s="677">
        <v>34</v>
      </c>
      <c r="F7" s="677">
        <v>54</v>
      </c>
      <c r="G7" s="678">
        <v>13</v>
      </c>
      <c r="H7" s="678"/>
      <c r="I7" s="677"/>
      <c r="J7" s="677"/>
      <c r="K7" s="677"/>
      <c r="L7" s="677">
        <v>37</v>
      </c>
      <c r="M7" s="678"/>
      <c r="N7" s="678"/>
      <c r="O7" s="677"/>
      <c r="P7" s="677" t="s">
        <v>1063</v>
      </c>
      <c r="Q7" s="677" t="s">
        <v>1037</v>
      </c>
      <c r="R7" s="677" t="s">
        <v>1449</v>
      </c>
      <c r="S7" s="677" t="s">
        <v>680</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966</v>
      </c>
      <c r="B8" s="677">
        <v>34392</v>
      </c>
      <c r="C8" s="677">
        <v>5</v>
      </c>
      <c r="D8" s="677">
        <v>38</v>
      </c>
      <c r="E8" s="677">
        <v>38</v>
      </c>
      <c r="F8" s="677"/>
      <c r="G8" s="678">
        <v>20</v>
      </c>
      <c r="H8" s="678"/>
      <c r="I8" s="677"/>
      <c r="J8" s="677">
        <v>105</v>
      </c>
      <c r="K8" s="677"/>
      <c r="L8" s="677">
        <v>38</v>
      </c>
      <c r="M8" s="678"/>
      <c r="N8" s="678"/>
      <c r="O8" s="677"/>
      <c r="P8" s="677"/>
      <c r="Q8" s="677" t="s">
        <v>1037</v>
      </c>
      <c r="R8" s="677" t="s">
        <v>22</v>
      </c>
      <c r="S8" s="677" t="s">
        <v>871</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1450</v>
      </c>
      <c r="B9" s="677">
        <v>25790</v>
      </c>
      <c r="C9" s="677">
        <v>1</v>
      </c>
      <c r="D9" s="677"/>
      <c r="E9" s="677">
        <v>25</v>
      </c>
      <c r="F9" s="677">
        <v>50</v>
      </c>
      <c r="G9" s="678"/>
      <c r="H9" s="678">
        <v>24</v>
      </c>
      <c r="I9" s="677"/>
      <c r="J9" s="677"/>
      <c r="K9" s="677"/>
      <c r="L9" s="677"/>
      <c r="M9" s="678"/>
      <c r="N9" s="678"/>
      <c r="O9" s="677"/>
      <c r="P9" s="677"/>
      <c r="Q9" s="677" t="s">
        <v>1033</v>
      </c>
      <c r="R9" s="677"/>
      <c r="S9" s="677" t="s">
        <v>675</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1451</v>
      </c>
      <c r="B10" s="677">
        <v>25832</v>
      </c>
      <c r="C10" s="677">
        <v>1</v>
      </c>
      <c r="D10" s="677"/>
      <c r="E10" s="677">
        <v>29</v>
      </c>
      <c r="F10" s="677">
        <v>18</v>
      </c>
      <c r="G10" s="678">
        <v>21</v>
      </c>
      <c r="H10" s="678"/>
      <c r="I10" s="677"/>
      <c r="J10" s="677"/>
      <c r="K10" s="677"/>
      <c r="L10" s="677">
        <v>39</v>
      </c>
      <c r="M10" s="678"/>
      <c r="N10" s="678">
        <v>23</v>
      </c>
      <c r="O10" s="677"/>
      <c r="P10" s="677" t="s">
        <v>1068</v>
      </c>
      <c r="Q10" s="677" t="s">
        <v>1045</v>
      </c>
      <c r="R10" s="677" t="s">
        <v>1452</v>
      </c>
      <c r="S10" s="677" t="s">
        <v>677</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1456</v>
      </c>
      <c r="B11" s="677">
        <v>32377</v>
      </c>
      <c r="C11" s="677">
        <v>3</v>
      </c>
      <c r="D11" s="677"/>
      <c r="E11" s="677"/>
      <c r="F11" s="677">
        <v>94</v>
      </c>
      <c r="G11" s="678">
        <v>33</v>
      </c>
      <c r="H11" s="678">
        <v>22</v>
      </c>
      <c r="I11" s="677"/>
      <c r="J11" s="677"/>
      <c r="K11" s="677"/>
      <c r="L11" s="677">
        <v>34</v>
      </c>
      <c r="M11" s="678"/>
      <c r="N11" s="678"/>
      <c r="O11" s="677"/>
      <c r="P11" s="677"/>
      <c r="Q11" s="677" t="s">
        <v>1033</v>
      </c>
      <c r="R11" s="677"/>
      <c r="S11" s="677" t="s">
        <v>683</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1453</v>
      </c>
      <c r="B12" s="677">
        <v>27434</v>
      </c>
      <c r="C12" s="677">
        <v>1</v>
      </c>
      <c r="D12" s="677"/>
      <c r="E12" s="677"/>
      <c r="F12" s="677">
        <v>20</v>
      </c>
      <c r="G12" s="678">
        <v>23</v>
      </c>
      <c r="H12" s="678">
        <v>23</v>
      </c>
      <c r="I12" s="677"/>
      <c r="J12" s="677"/>
      <c r="K12" s="677"/>
      <c r="L12" s="677">
        <v>24</v>
      </c>
      <c r="M12" s="678"/>
      <c r="N12" s="678"/>
      <c r="O12" s="677"/>
      <c r="P12" s="677"/>
      <c r="Q12" s="677" t="s">
        <v>1454</v>
      </c>
      <c r="R12" s="677" t="s">
        <v>1455</v>
      </c>
      <c r="S12" s="677" t="s">
        <v>673</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2339</v>
      </c>
      <c r="B13" s="677">
        <v>32080</v>
      </c>
      <c r="C13" s="677">
        <v>1</v>
      </c>
      <c r="D13" s="677"/>
      <c r="E13" s="677">
        <v>39</v>
      </c>
      <c r="F13" s="677">
        <v>34</v>
      </c>
      <c r="G13" s="678"/>
      <c r="H13" s="678"/>
      <c r="I13" s="677"/>
      <c r="J13" s="677"/>
      <c r="K13" s="677"/>
      <c r="L13" s="677">
        <v>33</v>
      </c>
      <c r="M13" s="678"/>
      <c r="N13" s="678"/>
      <c r="O13" s="677"/>
      <c r="P13" s="677"/>
      <c r="Q13" s="677" t="s">
        <v>1033</v>
      </c>
      <c r="R13" s="677"/>
      <c r="S13" s="677" t="s">
        <v>691</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2340</v>
      </c>
      <c r="B14" s="677">
        <v>27831</v>
      </c>
      <c r="C14" s="677">
        <v>1</v>
      </c>
      <c r="D14" s="677"/>
      <c r="E14" s="677"/>
      <c r="F14" s="677">
        <v>52</v>
      </c>
      <c r="G14" s="678">
        <v>21</v>
      </c>
      <c r="H14" s="678">
        <v>12</v>
      </c>
      <c r="I14" s="677"/>
      <c r="J14" s="677"/>
      <c r="K14" s="677"/>
      <c r="L14" s="677">
        <v>25</v>
      </c>
      <c r="M14" s="678"/>
      <c r="N14" s="678"/>
      <c r="O14" s="677"/>
      <c r="P14" s="677"/>
      <c r="Q14" s="677" t="s">
        <v>1033</v>
      </c>
      <c r="R14" s="677"/>
      <c r="S14" s="677" t="s">
        <v>691</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1457</v>
      </c>
      <c r="B15" s="677">
        <v>32001</v>
      </c>
      <c r="C15" s="677">
        <v>2</v>
      </c>
      <c r="D15" s="677"/>
      <c r="E15" s="677">
        <v>32</v>
      </c>
      <c r="F15" s="677">
        <v>24</v>
      </c>
      <c r="G15" s="678">
        <v>24</v>
      </c>
      <c r="H15" s="678"/>
      <c r="I15" s="677"/>
      <c r="J15" s="677"/>
      <c r="K15" s="677"/>
      <c r="L15" s="677">
        <v>45</v>
      </c>
      <c r="M15" s="678"/>
      <c r="N15" s="678">
        <v>25</v>
      </c>
      <c r="O15" s="677"/>
      <c r="P15" s="677" t="s">
        <v>1068</v>
      </c>
      <c r="Q15" s="677" t="s">
        <v>1045</v>
      </c>
      <c r="R15" s="677" t="s">
        <v>1452</v>
      </c>
      <c r="S15" s="677" t="s">
        <v>677</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1458</v>
      </c>
      <c r="B16" s="677">
        <v>29047</v>
      </c>
      <c r="C16" s="677">
        <v>1</v>
      </c>
      <c r="D16" s="677"/>
      <c r="E16" s="677">
        <v>20</v>
      </c>
      <c r="F16" s="677">
        <v>52</v>
      </c>
      <c r="G16" s="678"/>
      <c r="H16" s="678">
        <v>13</v>
      </c>
      <c r="I16" s="677"/>
      <c r="J16" s="677"/>
      <c r="K16" s="677"/>
      <c r="L16" s="677">
        <v>38</v>
      </c>
      <c r="M16" s="678"/>
      <c r="N16" s="678"/>
      <c r="O16" s="677"/>
      <c r="P16" s="677" t="s">
        <v>1078</v>
      </c>
      <c r="Q16" s="677" t="s">
        <v>1454</v>
      </c>
      <c r="R16" s="677" t="s">
        <v>1459</v>
      </c>
      <c r="S16" s="677" t="s">
        <v>678</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702</v>
      </c>
      <c r="B17" s="677">
        <v>35369</v>
      </c>
      <c r="C17" s="677">
        <v>1</v>
      </c>
      <c r="D17" s="677"/>
      <c r="E17" s="677">
        <v>13</v>
      </c>
      <c r="F17" s="677">
        <v>22</v>
      </c>
      <c r="G17" s="678">
        <v>11</v>
      </c>
      <c r="H17" s="678"/>
      <c r="I17" s="677"/>
      <c r="J17" s="677"/>
      <c r="K17" s="677"/>
      <c r="L17" s="677">
        <v>31</v>
      </c>
      <c r="M17" s="678"/>
      <c r="N17" s="678">
        <v>13</v>
      </c>
      <c r="O17" s="677"/>
      <c r="P17" s="677" t="s">
        <v>2861</v>
      </c>
      <c r="Q17" s="677" t="s">
        <v>1045</v>
      </c>
      <c r="R17" s="677" t="s">
        <v>1452</v>
      </c>
      <c r="S17" s="677" t="s">
        <v>676</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1460</v>
      </c>
      <c r="B18" s="677">
        <v>30917</v>
      </c>
      <c r="C18" s="677">
        <v>3</v>
      </c>
      <c r="D18" s="677"/>
      <c r="E18" s="677">
        <v>28</v>
      </c>
      <c r="F18" s="677">
        <v>76</v>
      </c>
      <c r="G18" s="678">
        <v>23</v>
      </c>
      <c r="H18" s="678"/>
      <c r="I18" s="677"/>
      <c r="J18" s="677"/>
      <c r="K18" s="677"/>
      <c r="L18" s="677">
        <v>55</v>
      </c>
      <c r="M18" s="678"/>
      <c r="N18" s="678"/>
      <c r="O18" s="677"/>
      <c r="P18" s="677"/>
      <c r="Q18" s="677" t="s">
        <v>1033</v>
      </c>
      <c r="R18" s="677"/>
      <c r="S18" s="677" t="s">
        <v>684</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1461</v>
      </c>
      <c r="B19" s="677">
        <v>27776</v>
      </c>
      <c r="C19" s="677">
        <v>1</v>
      </c>
      <c r="D19" s="677"/>
      <c r="E19" s="677">
        <v>25</v>
      </c>
      <c r="F19" s="677">
        <v>42</v>
      </c>
      <c r="G19" s="678"/>
      <c r="H19" s="678"/>
      <c r="I19" s="677"/>
      <c r="J19" s="677"/>
      <c r="K19" s="677"/>
      <c r="L19" s="677">
        <v>25</v>
      </c>
      <c r="M19" s="678"/>
      <c r="N19" s="678"/>
      <c r="O19" s="677"/>
      <c r="P19" s="677" t="s">
        <v>2146</v>
      </c>
      <c r="Q19" s="677" t="s">
        <v>1446</v>
      </c>
      <c r="R19" s="677" t="s">
        <v>1459</v>
      </c>
      <c r="S19" s="677" t="s">
        <v>673</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1302</v>
      </c>
      <c r="B20" s="677">
        <v>33300</v>
      </c>
      <c r="C20" s="677">
        <v>4</v>
      </c>
      <c r="D20" s="677"/>
      <c r="E20" s="677">
        <v>33</v>
      </c>
      <c r="F20" s="677">
        <v>68</v>
      </c>
      <c r="G20" s="678"/>
      <c r="H20" s="678">
        <v>16</v>
      </c>
      <c r="I20" s="677"/>
      <c r="J20" s="677"/>
      <c r="K20" s="677"/>
      <c r="L20" s="677">
        <v>39</v>
      </c>
      <c r="M20" s="678"/>
      <c r="N20" s="678"/>
      <c r="O20" s="677"/>
      <c r="P20" s="677"/>
      <c r="Q20" s="677" t="s">
        <v>1033</v>
      </c>
      <c r="R20" s="677"/>
      <c r="S20" s="677" t="s">
        <v>664</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1143</v>
      </c>
      <c r="B21" s="677">
        <v>34613</v>
      </c>
      <c r="C21" s="677">
        <v>5</v>
      </c>
      <c r="D21" s="677"/>
      <c r="E21" s="677">
        <v>35</v>
      </c>
      <c r="F21" s="677">
        <v>62</v>
      </c>
      <c r="G21" s="678"/>
      <c r="H21" s="678">
        <v>23</v>
      </c>
      <c r="I21" s="677"/>
      <c r="J21" s="677"/>
      <c r="K21" s="677"/>
      <c r="L21" s="677">
        <v>32</v>
      </c>
      <c r="M21" s="678"/>
      <c r="N21" s="678"/>
      <c r="O21" s="677"/>
      <c r="P21" s="677"/>
      <c r="Q21" s="677" t="s">
        <v>1033</v>
      </c>
      <c r="R21" s="677"/>
      <c r="S21" s="677" t="s">
        <v>691</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1462</v>
      </c>
      <c r="B22" s="677">
        <v>30055</v>
      </c>
      <c r="C22" s="677">
        <v>2</v>
      </c>
      <c r="D22" s="677"/>
      <c r="E22" s="677">
        <v>33</v>
      </c>
      <c r="F22" s="677">
        <v>60</v>
      </c>
      <c r="G22" s="678">
        <v>16</v>
      </c>
      <c r="H22" s="678"/>
      <c r="I22" s="677"/>
      <c r="J22" s="677"/>
      <c r="K22" s="677">
        <v>10</v>
      </c>
      <c r="L22" s="677">
        <v>28</v>
      </c>
      <c r="M22" s="678"/>
      <c r="N22" s="678"/>
      <c r="O22" s="677"/>
      <c r="P22" s="677"/>
      <c r="Q22" s="677" t="s">
        <v>1035</v>
      </c>
      <c r="R22" s="677" t="s">
        <v>1463</v>
      </c>
      <c r="S22" s="677" t="s">
        <v>667</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873</v>
      </c>
      <c r="B23" s="677">
        <v>34195</v>
      </c>
      <c r="C23" s="677">
        <v>5</v>
      </c>
      <c r="D23" s="677"/>
      <c r="E23" s="677">
        <v>33</v>
      </c>
      <c r="F23" s="677">
        <v>90</v>
      </c>
      <c r="G23" s="678"/>
      <c r="H23" s="678">
        <v>26</v>
      </c>
      <c r="I23" s="677">
        <v>30</v>
      </c>
      <c r="J23" s="677"/>
      <c r="K23" s="677"/>
      <c r="L23" s="677">
        <v>45</v>
      </c>
      <c r="M23" s="678"/>
      <c r="N23" s="678"/>
      <c r="O23" s="677"/>
      <c r="P23" s="677"/>
      <c r="Q23" s="677" t="s">
        <v>1033</v>
      </c>
      <c r="R23" s="677"/>
      <c r="S23" s="677" t="s">
        <v>871</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1464</v>
      </c>
      <c r="B24" s="677">
        <v>31030</v>
      </c>
      <c r="C24" s="677">
        <v>3</v>
      </c>
      <c r="D24" s="677"/>
      <c r="E24" s="677">
        <v>34</v>
      </c>
      <c r="F24" s="677">
        <v>68</v>
      </c>
      <c r="G24" s="678"/>
      <c r="H24" s="678"/>
      <c r="I24" s="677"/>
      <c r="J24" s="677">
        <v>175</v>
      </c>
      <c r="K24" s="677"/>
      <c r="L24" s="677">
        <v>37</v>
      </c>
      <c r="M24" s="678"/>
      <c r="N24" s="678"/>
      <c r="O24" s="677"/>
      <c r="P24" s="677" t="s">
        <v>999</v>
      </c>
      <c r="Q24" s="677" t="s">
        <v>1041</v>
      </c>
      <c r="R24" s="677" t="s">
        <v>1465</v>
      </c>
      <c r="S24" s="677" t="s">
        <v>683</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1466</v>
      </c>
      <c r="B25" s="677">
        <v>27995</v>
      </c>
      <c r="C25" s="677">
        <v>1</v>
      </c>
      <c r="D25" s="677"/>
      <c r="E25" s="677">
        <v>25</v>
      </c>
      <c r="F25" s="677">
        <v>48</v>
      </c>
      <c r="G25" s="678"/>
      <c r="H25" s="678">
        <v>15</v>
      </c>
      <c r="I25" s="677"/>
      <c r="J25" s="677"/>
      <c r="K25" s="677"/>
      <c r="L25" s="677">
        <v>26</v>
      </c>
      <c r="M25" s="678"/>
      <c r="N25" s="678"/>
      <c r="O25" s="677"/>
      <c r="P25" s="677"/>
      <c r="Q25" s="677" t="s">
        <v>1033</v>
      </c>
      <c r="R25" s="677"/>
      <c r="S25" s="677" t="s">
        <v>673</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661</v>
      </c>
      <c r="B26" s="677">
        <v>32581</v>
      </c>
      <c r="C26" s="677">
        <v>3</v>
      </c>
      <c r="D26" s="677"/>
      <c r="E26" s="677">
        <v>29</v>
      </c>
      <c r="F26" s="677">
        <v>74</v>
      </c>
      <c r="G26" s="678"/>
      <c r="H26" s="678"/>
      <c r="I26" s="677">
        <v>38</v>
      </c>
      <c r="J26" s="677"/>
      <c r="K26" s="677"/>
      <c r="L26" s="677">
        <v>34</v>
      </c>
      <c r="M26" s="678"/>
      <c r="N26" s="678"/>
      <c r="O26" s="677"/>
      <c r="P26" s="677"/>
      <c r="Q26" s="677" t="s">
        <v>1033</v>
      </c>
      <c r="R26" s="677"/>
      <c r="S26" s="677" t="s">
        <v>687</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1467</v>
      </c>
      <c r="B27" s="677">
        <v>29147</v>
      </c>
      <c r="C27" s="677">
        <v>1</v>
      </c>
      <c r="D27" s="677"/>
      <c r="E27" s="677">
        <v>20</v>
      </c>
      <c r="F27" s="677">
        <v>70</v>
      </c>
      <c r="G27" s="678"/>
      <c r="H27" s="678">
        <v>15</v>
      </c>
      <c r="I27" s="677"/>
      <c r="J27" s="677"/>
      <c r="K27" s="677"/>
      <c r="L27" s="677"/>
      <c r="M27" s="678"/>
      <c r="N27" s="678"/>
      <c r="O27" s="677"/>
      <c r="P27" s="677"/>
      <c r="Q27" s="677" t="s">
        <v>1033</v>
      </c>
      <c r="R27" s="677"/>
      <c r="S27" s="677" t="s">
        <v>676</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1526</v>
      </c>
      <c r="B28" s="726">
        <v>33703</v>
      </c>
      <c r="C28" s="726">
        <v>3</v>
      </c>
      <c r="D28" s="726"/>
      <c r="E28" s="726">
        <v>34</v>
      </c>
      <c r="F28" s="726">
        <v>30</v>
      </c>
      <c r="G28" s="727">
        <v>27</v>
      </c>
      <c r="H28" s="727"/>
      <c r="I28" s="726"/>
      <c r="J28" s="726"/>
      <c r="K28" s="726"/>
      <c r="L28" s="726">
        <v>49</v>
      </c>
      <c r="M28" s="727"/>
      <c r="N28" s="727">
        <v>25</v>
      </c>
      <c r="O28" s="726"/>
      <c r="P28" s="726" t="s">
        <v>1068</v>
      </c>
      <c r="Q28" s="726" t="s">
        <v>1045</v>
      </c>
      <c r="R28" s="726" t="s">
        <v>1452</v>
      </c>
      <c r="S28" s="677" t="s">
        <v>677</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0" t="s">
        <v>691</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1016</v>
      </c>
      <c r="B34" s="729" t="s">
        <v>1934</v>
      </c>
      <c r="C34" s="729" t="s">
        <v>2798</v>
      </c>
      <c r="D34" s="730" t="s">
        <v>1214</v>
      </c>
      <c r="E34" s="730" t="s">
        <v>1215</v>
      </c>
      <c r="F34" s="730" t="s">
        <v>768</v>
      </c>
      <c r="G34" s="729" t="s">
        <v>2140</v>
      </c>
      <c r="H34" s="729" t="s">
        <v>2139</v>
      </c>
      <c r="I34" s="729" t="s">
        <v>771</v>
      </c>
      <c r="J34" s="731" t="s">
        <v>770</v>
      </c>
      <c r="K34" s="729" t="s">
        <v>760</v>
      </c>
      <c r="L34" s="730" t="s">
        <v>1216</v>
      </c>
      <c r="M34" s="729" t="s">
        <v>264</v>
      </c>
      <c r="N34" s="729" t="s">
        <v>1217</v>
      </c>
      <c r="O34" s="729" t="s">
        <v>1287</v>
      </c>
      <c r="P34" s="729" t="s">
        <v>1046</v>
      </c>
      <c r="Q34" s="730" t="s">
        <v>1047</v>
      </c>
      <c r="R34" s="730" t="s">
        <v>1941</v>
      </c>
      <c r="S34" s="730" t="s">
        <v>666</v>
      </c>
      <c r="T34" s="730" t="s">
        <v>921</v>
      </c>
      <c r="U34" s="732" t="s">
        <v>265</v>
      </c>
      <c r="V34" s="828">
        <v>0</v>
      </c>
      <c r="W34" s="740"/>
      <c r="X34" s="741" t="s">
        <v>1689</v>
      </c>
      <c r="Z34" s="114"/>
      <c r="AA34" s="114"/>
      <c r="AB34" s="114"/>
      <c r="AC34" s="114"/>
    </row>
    <row r="35" spans="1:29">
      <c r="A35" s="694" t="s">
        <v>1477</v>
      </c>
      <c r="B35" s="696">
        <v>2997</v>
      </c>
      <c r="C35" s="696">
        <v>1</v>
      </c>
      <c r="D35" s="695"/>
      <c r="E35" s="695"/>
      <c r="F35" s="695">
        <v>20</v>
      </c>
      <c r="G35" s="696">
        <v>15</v>
      </c>
      <c r="H35" s="696"/>
      <c r="I35" s="696"/>
      <c r="J35" s="696"/>
      <c r="K35" s="696"/>
      <c r="L35" s="695"/>
      <c r="M35" s="696"/>
      <c r="N35" s="696"/>
      <c r="O35" s="696"/>
      <c r="P35" s="696"/>
      <c r="Q35" s="696"/>
      <c r="R35" s="696"/>
      <c r="S35" s="696" t="s">
        <v>1689</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c r="Z35" s="114"/>
      <c r="AA35" s="129"/>
      <c r="AB35" s="129"/>
      <c r="AC35" s="129"/>
    </row>
    <row r="36" spans="1:29">
      <c r="A36" s="676" t="s">
        <v>663</v>
      </c>
      <c r="B36" s="678">
        <v>2986</v>
      </c>
      <c r="C36" s="678">
        <v>1</v>
      </c>
      <c r="D36" s="677"/>
      <c r="E36" s="677"/>
      <c r="F36" s="677">
        <v>30</v>
      </c>
      <c r="G36" s="678">
        <v>10</v>
      </c>
      <c r="H36" s="678"/>
      <c r="I36" s="678"/>
      <c r="J36" s="678"/>
      <c r="K36" s="678"/>
      <c r="L36" s="677"/>
      <c r="M36" s="678"/>
      <c r="N36" s="678"/>
      <c r="O36" s="678"/>
      <c r="P36" s="678"/>
      <c r="Q36" s="678"/>
      <c r="R36" s="678"/>
      <c r="S36" s="678" t="s">
        <v>1689</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2159</v>
      </c>
      <c r="B37" s="677">
        <v>2978</v>
      </c>
      <c r="C37" s="677">
        <v>1</v>
      </c>
      <c r="D37" s="677"/>
      <c r="E37" s="677"/>
      <c r="F37" s="677"/>
      <c r="G37" s="678"/>
      <c r="H37" s="678"/>
      <c r="I37" s="678"/>
      <c r="J37" s="678"/>
      <c r="K37" s="678"/>
      <c r="L37" s="677"/>
      <c r="M37" s="678">
        <v>15</v>
      </c>
      <c r="N37" s="678"/>
      <c r="O37" s="678">
        <v>10</v>
      </c>
      <c r="P37" s="678"/>
      <c r="Q37" s="678"/>
      <c r="R37" s="677"/>
      <c r="S37" s="678" t="s">
        <v>1689</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1409</v>
      </c>
      <c r="B38" s="678">
        <v>2996</v>
      </c>
      <c r="C38" s="678">
        <v>1</v>
      </c>
      <c r="D38" s="677"/>
      <c r="E38" s="677"/>
      <c r="F38" s="677"/>
      <c r="G38" s="678">
        <v>13</v>
      </c>
      <c r="H38" s="678"/>
      <c r="I38" s="678"/>
      <c r="J38" s="678"/>
      <c r="K38" s="678"/>
      <c r="L38" s="677"/>
      <c r="M38" s="678"/>
      <c r="N38" s="678"/>
      <c r="O38" s="678"/>
      <c r="P38" s="678"/>
      <c r="Q38" s="678"/>
      <c r="R38" s="678"/>
      <c r="S38" s="678" t="s">
        <v>1689</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1476</v>
      </c>
      <c r="B39" s="678">
        <v>2983</v>
      </c>
      <c r="C39" s="678">
        <v>1</v>
      </c>
      <c r="D39" s="677"/>
      <c r="E39" s="677"/>
      <c r="F39" s="677">
        <v>26</v>
      </c>
      <c r="G39" s="678"/>
      <c r="H39" s="678"/>
      <c r="I39" s="678"/>
      <c r="J39" s="678"/>
      <c r="K39" s="678"/>
      <c r="L39" s="677"/>
      <c r="M39" s="678"/>
      <c r="N39" s="678"/>
      <c r="O39" s="678"/>
      <c r="P39" s="678"/>
      <c r="Q39" s="678"/>
      <c r="R39" s="678"/>
      <c r="S39" s="678" t="s">
        <v>1689</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1018</v>
      </c>
      <c r="B40" s="678">
        <v>2717</v>
      </c>
      <c r="C40" s="678">
        <v>1</v>
      </c>
      <c r="D40" s="677"/>
      <c r="E40" s="677"/>
      <c r="F40" s="677">
        <v>26</v>
      </c>
      <c r="G40" s="678">
        <v>14</v>
      </c>
      <c r="H40" s="678"/>
      <c r="I40" s="678"/>
      <c r="J40" s="678"/>
      <c r="K40" s="678"/>
      <c r="L40" s="677"/>
      <c r="M40" s="678"/>
      <c r="N40" s="678"/>
      <c r="O40" s="678"/>
      <c r="P40" s="678"/>
      <c r="Q40" s="678"/>
      <c r="R40" s="678"/>
      <c r="S40" s="678" t="s">
        <v>1689</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744</v>
      </c>
      <c r="B41" s="678">
        <v>2606</v>
      </c>
      <c r="C41" s="678">
        <v>1</v>
      </c>
      <c r="D41" s="677"/>
      <c r="E41" s="677"/>
      <c r="F41" s="677">
        <v>30</v>
      </c>
      <c r="G41" s="678"/>
      <c r="H41" s="678"/>
      <c r="I41" s="678"/>
      <c r="J41" s="678"/>
      <c r="K41" s="678"/>
      <c r="L41" s="677"/>
      <c r="M41" s="678"/>
      <c r="N41" s="678"/>
      <c r="O41" s="678"/>
      <c r="P41" s="678"/>
      <c r="Q41" s="678"/>
      <c r="R41" s="678"/>
      <c r="S41" s="678" t="s">
        <v>1689</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2207</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topLeftCell="A13" workbookViewId="0">
      <selection activeCell="X40" sqref="X40:X46"/>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669</v>
      </c>
    </row>
    <row r="2" spans="1:25">
      <c r="A2" s="694" t="s">
        <v>1410</v>
      </c>
      <c r="B2" s="695">
        <v>27878</v>
      </c>
      <c r="C2" s="695">
        <v>1</v>
      </c>
      <c r="D2" s="695"/>
      <c r="E2" s="695">
        <v>15</v>
      </c>
      <c r="F2" s="695">
        <v>36</v>
      </c>
      <c r="G2" s="695"/>
      <c r="H2" s="695">
        <v>17</v>
      </c>
      <c r="I2" s="695"/>
      <c r="J2" s="695"/>
      <c r="K2" s="695"/>
      <c r="L2" s="695">
        <v>15</v>
      </c>
      <c r="M2" s="695"/>
      <c r="N2" s="695"/>
      <c r="O2" s="695"/>
      <c r="P2" s="695"/>
      <c r="Q2" s="695" t="s">
        <v>1033</v>
      </c>
      <c r="R2" s="695"/>
      <c r="S2" s="695" t="s">
        <v>691</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Death Shroud</v>
      </c>
    </row>
    <row r="3" spans="1:25">
      <c r="A3" s="676" t="s">
        <v>1411</v>
      </c>
      <c r="B3" s="677">
        <v>30729</v>
      </c>
      <c r="C3" s="677">
        <v>1</v>
      </c>
      <c r="D3" s="677"/>
      <c r="E3" s="677"/>
      <c r="F3" s="677">
        <v>60</v>
      </c>
      <c r="G3" s="677">
        <v>30</v>
      </c>
      <c r="H3" s="677"/>
      <c r="I3" s="677"/>
      <c r="J3" s="677"/>
      <c r="K3" s="677"/>
      <c r="L3" s="677"/>
      <c r="M3" s="677"/>
      <c r="N3" s="677"/>
      <c r="O3" s="677"/>
      <c r="P3" s="677"/>
      <c r="Q3" s="677" t="s">
        <v>1033</v>
      </c>
      <c r="R3" s="677"/>
      <c r="S3" s="677" t="s">
        <v>681</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1412</v>
      </c>
      <c r="B4" s="677">
        <v>29382</v>
      </c>
      <c r="C4" s="677">
        <v>1</v>
      </c>
      <c r="D4" s="677"/>
      <c r="E4" s="677">
        <v>23</v>
      </c>
      <c r="F4" s="677">
        <v>48</v>
      </c>
      <c r="G4" s="677"/>
      <c r="H4" s="677"/>
      <c r="I4" s="677"/>
      <c r="J4" s="677"/>
      <c r="K4" s="677"/>
      <c r="L4" s="677">
        <v>22</v>
      </c>
      <c r="M4" s="677"/>
      <c r="N4" s="677"/>
      <c r="O4" s="677"/>
      <c r="P4" s="677"/>
      <c r="Q4" s="677" t="s">
        <v>1033</v>
      </c>
      <c r="R4" s="677"/>
      <c r="S4" s="677" t="s">
        <v>691</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2402</v>
      </c>
      <c r="B5" s="677">
        <v>21701</v>
      </c>
      <c r="C5" s="677">
        <v>1</v>
      </c>
      <c r="D5" s="677">
        <v>11</v>
      </c>
      <c r="E5" s="677">
        <v>16</v>
      </c>
      <c r="F5" s="677"/>
      <c r="G5" s="677"/>
      <c r="H5" s="677">
        <v>10</v>
      </c>
      <c r="I5" s="677"/>
      <c r="J5" s="677"/>
      <c r="K5" s="677"/>
      <c r="L5" s="677">
        <v>15</v>
      </c>
      <c r="M5" s="677"/>
      <c r="N5" s="677"/>
      <c r="O5" s="677"/>
      <c r="P5" s="677"/>
      <c r="Q5" s="677" t="s">
        <v>1033</v>
      </c>
      <c r="R5" s="677"/>
      <c r="S5" s="677" t="s">
        <v>668</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1472</v>
      </c>
      <c r="B6" s="677">
        <v>33122</v>
      </c>
      <c r="C6" s="677">
        <v>1</v>
      </c>
      <c r="D6" s="677">
        <v>23</v>
      </c>
      <c r="E6" s="677"/>
      <c r="F6" s="677"/>
      <c r="G6" s="677">
        <v>24</v>
      </c>
      <c r="H6" s="677"/>
      <c r="I6" s="677"/>
      <c r="J6" s="677"/>
      <c r="K6" s="677"/>
      <c r="L6" s="677">
        <v>25</v>
      </c>
      <c r="M6" s="677"/>
      <c r="N6" s="677"/>
      <c r="O6" s="677"/>
      <c r="P6" s="677"/>
      <c r="Q6" s="677" t="s">
        <v>1039</v>
      </c>
      <c r="R6" s="677" t="s">
        <v>1473</v>
      </c>
      <c r="S6" s="677" t="s">
        <v>676</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545</v>
      </c>
      <c r="B7" s="677">
        <v>33590</v>
      </c>
      <c r="C7" s="677">
        <v>4</v>
      </c>
      <c r="D7" s="677"/>
      <c r="E7" s="677">
        <v>20</v>
      </c>
      <c r="F7" s="677">
        <v>46</v>
      </c>
      <c r="G7" s="677"/>
      <c r="H7" s="677"/>
      <c r="I7" s="677">
        <v>25</v>
      </c>
      <c r="J7" s="677"/>
      <c r="K7" s="677"/>
      <c r="L7" s="677">
        <v>22</v>
      </c>
      <c r="M7" s="677"/>
      <c r="N7" s="677"/>
      <c r="O7" s="677"/>
      <c r="P7" s="677"/>
      <c r="Q7" s="677" t="s">
        <v>1033</v>
      </c>
      <c r="R7" s="677"/>
      <c r="S7" s="677" t="s">
        <v>664</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2386</v>
      </c>
      <c r="B8" s="677">
        <v>25965</v>
      </c>
      <c r="C8" s="677">
        <v>1</v>
      </c>
      <c r="D8" s="677"/>
      <c r="E8" s="677">
        <v>11</v>
      </c>
      <c r="F8" s="677">
        <v>22</v>
      </c>
      <c r="G8" s="677"/>
      <c r="H8" s="677">
        <v>11</v>
      </c>
      <c r="I8" s="677"/>
      <c r="J8" s="677"/>
      <c r="K8" s="677"/>
      <c r="L8" s="677">
        <v>16</v>
      </c>
      <c r="M8" s="677"/>
      <c r="N8" s="677"/>
      <c r="O8" s="677"/>
      <c r="P8" s="677"/>
      <c r="Q8" s="677" t="s">
        <v>1033</v>
      </c>
      <c r="R8" s="677"/>
      <c r="S8" s="677" t="s">
        <v>675</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2387</v>
      </c>
      <c r="B9" s="677">
        <v>27423</v>
      </c>
      <c r="C9" s="677">
        <v>1</v>
      </c>
      <c r="D9" s="677"/>
      <c r="E9" s="677">
        <v>18</v>
      </c>
      <c r="F9" s="677">
        <v>40</v>
      </c>
      <c r="G9" s="677"/>
      <c r="H9" s="677"/>
      <c r="I9" s="677"/>
      <c r="J9" s="677"/>
      <c r="K9" s="677"/>
      <c r="L9" s="677">
        <v>19</v>
      </c>
      <c r="M9" s="677"/>
      <c r="N9" s="677"/>
      <c r="O9" s="677"/>
      <c r="P9" s="677"/>
      <c r="Q9" s="677" t="s">
        <v>1033</v>
      </c>
      <c r="R9" s="677"/>
      <c r="S9" s="677" t="s">
        <v>673</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1413</v>
      </c>
      <c r="B10" s="677">
        <v>27519</v>
      </c>
      <c r="C10" s="677">
        <v>1</v>
      </c>
      <c r="D10" s="677"/>
      <c r="E10" s="677">
        <v>21</v>
      </c>
      <c r="F10" s="677">
        <v>38</v>
      </c>
      <c r="G10" s="677"/>
      <c r="H10" s="677"/>
      <c r="I10" s="677"/>
      <c r="J10" s="677"/>
      <c r="K10" s="677"/>
      <c r="L10" s="677">
        <v>18</v>
      </c>
      <c r="M10" s="677"/>
      <c r="N10" s="677"/>
      <c r="O10" s="677"/>
      <c r="P10" s="677"/>
      <c r="Q10" s="677" t="s">
        <v>1033</v>
      </c>
      <c r="R10" s="677"/>
      <c r="S10" s="677" t="s">
        <v>673</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1033</v>
      </c>
      <c r="R11" s="677"/>
      <c r="S11" s="677" t="s">
        <v>673</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884</v>
      </c>
      <c r="B12" s="677">
        <v>31255</v>
      </c>
      <c r="C12" s="677">
        <v>1</v>
      </c>
      <c r="D12" s="677"/>
      <c r="E12" s="677">
        <v>23</v>
      </c>
      <c r="F12" s="677">
        <v>20</v>
      </c>
      <c r="G12" s="677"/>
      <c r="H12" s="677">
        <v>13</v>
      </c>
      <c r="I12" s="677"/>
      <c r="J12" s="677"/>
      <c r="K12" s="677"/>
      <c r="L12" s="677"/>
      <c r="M12" s="677"/>
      <c r="N12" s="677"/>
      <c r="O12" s="677"/>
      <c r="P12" s="677"/>
      <c r="Q12" s="677" t="s">
        <v>1033</v>
      </c>
      <c r="R12" s="677"/>
      <c r="S12" s="677" t="s">
        <v>674</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885</v>
      </c>
      <c r="B13" s="677">
        <v>27892</v>
      </c>
      <c r="C13" s="677">
        <v>1</v>
      </c>
      <c r="D13" s="677"/>
      <c r="E13" s="677"/>
      <c r="F13" s="677">
        <v>30</v>
      </c>
      <c r="G13" s="677">
        <v>18</v>
      </c>
      <c r="H13" s="677">
        <v>16</v>
      </c>
      <c r="I13" s="677"/>
      <c r="J13" s="677"/>
      <c r="K13" s="677"/>
      <c r="L13" s="677">
        <v>15</v>
      </c>
      <c r="M13" s="677"/>
      <c r="N13" s="677"/>
      <c r="O13" s="677"/>
      <c r="P13" s="677"/>
      <c r="Q13" s="677" t="s">
        <v>1033</v>
      </c>
      <c r="R13" s="677"/>
      <c r="S13" s="677" t="s">
        <v>673</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886</v>
      </c>
      <c r="B14" s="677">
        <v>28777</v>
      </c>
      <c r="C14" s="677">
        <v>1</v>
      </c>
      <c r="D14" s="677"/>
      <c r="E14" s="677"/>
      <c r="F14" s="677">
        <v>56</v>
      </c>
      <c r="G14" s="677">
        <v>24</v>
      </c>
      <c r="H14" s="677"/>
      <c r="I14" s="677"/>
      <c r="J14" s="677"/>
      <c r="K14" s="677"/>
      <c r="L14" s="677">
        <v>28</v>
      </c>
      <c r="M14" s="677"/>
      <c r="N14" s="677"/>
      <c r="O14" s="677"/>
      <c r="P14" s="677"/>
      <c r="Q14" s="677" t="s">
        <v>1033</v>
      </c>
      <c r="R14" s="677"/>
      <c r="S14" s="677" t="s">
        <v>679</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1730</v>
      </c>
      <c r="B15" s="677">
        <v>34241</v>
      </c>
      <c r="C15" s="677">
        <v>5</v>
      </c>
      <c r="D15" s="677"/>
      <c r="E15" s="677">
        <v>26</v>
      </c>
      <c r="F15" s="677">
        <v>72</v>
      </c>
      <c r="G15" s="677"/>
      <c r="H15" s="677"/>
      <c r="I15" s="677">
        <v>32</v>
      </c>
      <c r="J15" s="677"/>
      <c r="K15" s="677"/>
      <c r="L15" s="677">
        <v>25</v>
      </c>
      <c r="M15" s="677"/>
      <c r="N15" s="677"/>
      <c r="O15" s="677"/>
      <c r="P15" s="677"/>
      <c r="Q15" s="677" t="s">
        <v>1043</v>
      </c>
      <c r="R15" s="677" t="s">
        <v>1066</v>
      </c>
      <c r="S15" s="677" t="s">
        <v>871</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887</v>
      </c>
      <c r="B16" s="677">
        <v>25927</v>
      </c>
      <c r="C16" s="677">
        <v>1</v>
      </c>
      <c r="D16" s="677"/>
      <c r="E16" s="677">
        <v>14</v>
      </c>
      <c r="F16" s="677">
        <v>26</v>
      </c>
      <c r="G16" s="677"/>
      <c r="H16" s="677">
        <v>14</v>
      </c>
      <c r="I16" s="677"/>
      <c r="J16" s="677"/>
      <c r="K16" s="677"/>
      <c r="L16" s="677"/>
      <c r="M16" s="677"/>
      <c r="N16" s="677"/>
      <c r="O16" s="677"/>
      <c r="P16" s="677"/>
      <c r="Q16" s="677" t="s">
        <v>1033</v>
      </c>
      <c r="R16" s="677"/>
      <c r="S16" s="677" t="s">
        <v>675</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2388</v>
      </c>
      <c r="B17" s="677">
        <v>34190</v>
      </c>
      <c r="C17" s="677">
        <v>5</v>
      </c>
      <c r="D17" s="677"/>
      <c r="E17" s="677"/>
      <c r="F17" s="677"/>
      <c r="G17" s="677"/>
      <c r="H17" s="677"/>
      <c r="I17" s="677"/>
      <c r="J17" s="677"/>
      <c r="K17" s="677">
        <v>28</v>
      </c>
      <c r="L17" s="677">
        <v>61</v>
      </c>
      <c r="M17" s="677">
        <v>28</v>
      </c>
      <c r="N17" s="677"/>
      <c r="O17" s="677"/>
      <c r="P17" s="677"/>
      <c r="Q17" s="677" t="s">
        <v>1033</v>
      </c>
      <c r="R17" s="677"/>
      <c r="S17" s="677" t="s">
        <v>871</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1146</v>
      </c>
      <c r="B18" s="677">
        <v>32665</v>
      </c>
      <c r="C18" s="677">
        <v>1</v>
      </c>
      <c r="D18" s="677"/>
      <c r="E18" s="677">
        <v>15</v>
      </c>
      <c r="F18" s="677"/>
      <c r="G18" s="677"/>
      <c r="H18" s="677"/>
      <c r="I18" s="677">
        <v>26</v>
      </c>
      <c r="J18" s="677"/>
      <c r="K18" s="677"/>
      <c r="L18" s="677">
        <v>15</v>
      </c>
      <c r="M18" s="677"/>
      <c r="N18" s="677"/>
      <c r="O18" s="677"/>
      <c r="P18" s="677"/>
      <c r="Q18" s="677" t="s">
        <v>1033</v>
      </c>
      <c r="R18" s="677"/>
      <c r="S18" s="677" t="s">
        <v>674</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1614</v>
      </c>
      <c r="B19" s="677">
        <v>29792</v>
      </c>
      <c r="C19" s="677">
        <v>1</v>
      </c>
      <c r="D19" s="677"/>
      <c r="E19" s="677">
        <v>12</v>
      </c>
      <c r="F19" s="677">
        <v>42</v>
      </c>
      <c r="G19" s="677"/>
      <c r="H19" s="677">
        <v>9</v>
      </c>
      <c r="I19" s="677"/>
      <c r="J19" s="677"/>
      <c r="K19" s="677"/>
      <c r="L19" s="677"/>
      <c r="M19" s="677"/>
      <c r="N19" s="677"/>
      <c r="O19" s="677"/>
      <c r="P19" s="677"/>
      <c r="Q19" s="677" t="s">
        <v>1033</v>
      </c>
      <c r="R19" s="677"/>
      <c r="S19" s="677" t="s">
        <v>675</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2389</v>
      </c>
      <c r="B20" s="677">
        <v>31942</v>
      </c>
      <c r="C20" s="677">
        <v>1</v>
      </c>
      <c r="D20" s="677"/>
      <c r="E20" s="677">
        <v>18</v>
      </c>
      <c r="F20" s="677">
        <v>42</v>
      </c>
      <c r="G20" s="677"/>
      <c r="H20" s="677"/>
      <c r="I20" s="677"/>
      <c r="J20" s="677"/>
      <c r="K20" s="677"/>
      <c r="L20" s="677">
        <v>27</v>
      </c>
      <c r="M20" s="677"/>
      <c r="N20" s="677"/>
      <c r="O20" s="677"/>
      <c r="P20" s="677"/>
      <c r="Q20" s="677" t="s">
        <v>1033</v>
      </c>
      <c r="R20" s="677"/>
      <c r="S20" s="677" t="s">
        <v>675</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1615</v>
      </c>
      <c r="B21" s="677">
        <v>28032</v>
      </c>
      <c r="C21" s="677">
        <v>1</v>
      </c>
      <c r="D21" s="677"/>
      <c r="E21" s="677">
        <v>14</v>
      </c>
      <c r="F21" s="677">
        <v>28</v>
      </c>
      <c r="G21" s="677"/>
      <c r="H21" s="677">
        <v>14</v>
      </c>
      <c r="I21" s="677"/>
      <c r="J21" s="677"/>
      <c r="K21" s="677"/>
      <c r="L21" s="677">
        <v>19</v>
      </c>
      <c r="M21" s="677"/>
      <c r="N21" s="677"/>
      <c r="O21" s="677"/>
      <c r="P21" s="677"/>
      <c r="Q21" s="677" t="s">
        <v>1033</v>
      </c>
      <c r="R21" s="677"/>
      <c r="S21" s="677" t="s">
        <v>675</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1428</v>
      </c>
      <c r="B22" s="677">
        <v>33484</v>
      </c>
      <c r="C22" s="677">
        <v>4</v>
      </c>
      <c r="D22" s="677"/>
      <c r="E22" s="677"/>
      <c r="F22" s="677">
        <v>46</v>
      </c>
      <c r="G22" s="677">
        <v>20</v>
      </c>
      <c r="H22" s="677"/>
      <c r="I22" s="677"/>
      <c r="J22" s="677">
        <v>112</v>
      </c>
      <c r="K22" s="677"/>
      <c r="L22" s="677">
        <v>34</v>
      </c>
      <c r="M22" s="677"/>
      <c r="N22" s="677">
        <v>20</v>
      </c>
      <c r="O22" s="677"/>
      <c r="P22" s="677"/>
      <c r="Q22" s="677" t="s">
        <v>1033</v>
      </c>
      <c r="R22" s="677"/>
      <c r="S22" s="677" t="s">
        <v>677</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1118</v>
      </c>
      <c r="B23" s="677">
        <v>28672</v>
      </c>
      <c r="C23" s="677">
        <v>1</v>
      </c>
      <c r="D23" s="677"/>
      <c r="E23" s="677">
        <v>24</v>
      </c>
      <c r="F23" s="677">
        <v>34</v>
      </c>
      <c r="G23" s="677"/>
      <c r="H23" s="677">
        <v>17</v>
      </c>
      <c r="I23" s="677"/>
      <c r="J23" s="677"/>
      <c r="K23" s="677"/>
      <c r="L23" s="677">
        <v>21</v>
      </c>
      <c r="M23" s="677"/>
      <c r="N23" s="677"/>
      <c r="O23" s="677"/>
      <c r="P23" s="677"/>
      <c r="Q23" s="677" t="s">
        <v>1033</v>
      </c>
      <c r="R23" s="677"/>
      <c r="S23" s="677" t="s">
        <v>672</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2490</v>
      </c>
      <c r="B24" s="677">
        <v>28764</v>
      </c>
      <c r="C24" s="677">
        <v>1</v>
      </c>
      <c r="D24" s="677"/>
      <c r="E24" s="677"/>
      <c r="F24" s="677">
        <v>70</v>
      </c>
      <c r="G24" s="677"/>
      <c r="H24" s="677"/>
      <c r="I24" s="677"/>
      <c r="J24" s="677"/>
      <c r="K24" s="677"/>
      <c r="L24" s="677">
        <v>36</v>
      </c>
      <c r="M24" s="677"/>
      <c r="N24" s="677"/>
      <c r="O24" s="677"/>
      <c r="P24" s="677"/>
      <c r="Q24" s="677" t="s">
        <v>1033</v>
      </c>
      <c r="R24" s="677"/>
      <c r="S24" s="677" t="s">
        <v>672</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1616</v>
      </c>
      <c r="B25" s="677">
        <v>28371</v>
      </c>
      <c r="C25" s="677">
        <v>1</v>
      </c>
      <c r="D25" s="677">
        <v>19</v>
      </c>
      <c r="E25" s="677">
        <v>19</v>
      </c>
      <c r="F25" s="677"/>
      <c r="G25" s="677">
        <v>21</v>
      </c>
      <c r="H25" s="677"/>
      <c r="I25" s="677"/>
      <c r="J25" s="677"/>
      <c r="K25" s="677"/>
      <c r="L25" s="677"/>
      <c r="M25" s="677"/>
      <c r="N25" s="677"/>
      <c r="O25" s="677"/>
      <c r="P25" s="677"/>
      <c r="Q25" s="677" t="s">
        <v>1033</v>
      </c>
      <c r="R25" s="677"/>
      <c r="S25" s="677" t="s">
        <v>673</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1617</v>
      </c>
      <c r="B26" s="677">
        <v>30098</v>
      </c>
      <c r="C26" s="677">
        <v>2</v>
      </c>
      <c r="D26" s="677">
        <v>33</v>
      </c>
      <c r="E26" s="677">
        <v>23</v>
      </c>
      <c r="F26" s="677"/>
      <c r="G26" s="677"/>
      <c r="H26" s="677"/>
      <c r="I26" s="677"/>
      <c r="J26" s="677"/>
      <c r="K26" s="677"/>
      <c r="L26" s="677">
        <v>22</v>
      </c>
      <c r="M26" s="677"/>
      <c r="N26" s="677"/>
      <c r="O26" s="677"/>
      <c r="P26" s="677"/>
      <c r="Q26" s="677" t="s">
        <v>1033</v>
      </c>
      <c r="R26" s="677"/>
      <c r="S26" s="677" t="s">
        <v>667</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2491</v>
      </c>
      <c r="B27" s="677">
        <v>28529</v>
      </c>
      <c r="C27" s="677">
        <v>1</v>
      </c>
      <c r="D27" s="677">
        <v>26</v>
      </c>
      <c r="E27" s="677"/>
      <c r="F27" s="677"/>
      <c r="G27" s="677"/>
      <c r="H27" s="677">
        <v>16</v>
      </c>
      <c r="I27" s="677"/>
      <c r="J27" s="677"/>
      <c r="K27" s="677"/>
      <c r="L27" s="677">
        <v>31</v>
      </c>
      <c r="M27" s="677"/>
      <c r="N27" s="677"/>
      <c r="O27" s="677"/>
      <c r="P27" s="677"/>
      <c r="Q27" s="677" t="s">
        <v>1033</v>
      </c>
      <c r="R27" s="677"/>
      <c r="S27" s="677" t="s">
        <v>672</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1033</v>
      </c>
      <c r="R28" s="677"/>
      <c r="S28" s="677" t="s">
        <v>677</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1033</v>
      </c>
      <c r="R29" s="677"/>
      <c r="S29" s="677" t="s">
        <v>677</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1618</v>
      </c>
      <c r="B30" s="677">
        <v>32323</v>
      </c>
      <c r="C30" s="677">
        <v>3</v>
      </c>
      <c r="D30" s="677"/>
      <c r="E30" s="677"/>
      <c r="F30" s="677">
        <v>72</v>
      </c>
      <c r="G30" s="677">
        <v>24</v>
      </c>
      <c r="H30" s="677">
        <v>17</v>
      </c>
      <c r="I30" s="677"/>
      <c r="J30" s="677"/>
      <c r="K30" s="677"/>
      <c r="L30" s="677">
        <v>24</v>
      </c>
      <c r="M30" s="677"/>
      <c r="N30" s="677"/>
      <c r="O30" s="677"/>
      <c r="P30" s="677"/>
      <c r="Q30" s="677" t="s">
        <v>1033</v>
      </c>
      <c r="R30" s="677"/>
      <c r="S30" s="677" t="s">
        <v>683</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2390</v>
      </c>
      <c r="B31" s="677">
        <v>23045</v>
      </c>
      <c r="C31" s="677">
        <v>1</v>
      </c>
      <c r="D31" s="677"/>
      <c r="E31" s="677"/>
      <c r="F31" s="677">
        <v>50</v>
      </c>
      <c r="G31" s="677">
        <v>14</v>
      </c>
      <c r="H31" s="677"/>
      <c r="I31" s="677"/>
      <c r="J31" s="677"/>
      <c r="K31" s="677"/>
      <c r="L31" s="677">
        <v>11</v>
      </c>
      <c r="M31" s="677"/>
      <c r="N31" s="677"/>
      <c r="O31" s="677"/>
      <c r="P31" s="677"/>
      <c r="Q31" s="677" t="s">
        <v>1033</v>
      </c>
      <c r="R31" s="677"/>
      <c r="S31" s="677" t="s">
        <v>668</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2083</v>
      </c>
      <c r="B32" s="677">
        <v>32540</v>
      </c>
      <c r="C32" s="677">
        <v>3</v>
      </c>
      <c r="D32" s="677"/>
      <c r="E32" s="677">
        <v>16</v>
      </c>
      <c r="F32" s="677">
        <v>56</v>
      </c>
      <c r="G32" s="677"/>
      <c r="H32" s="677"/>
      <c r="I32" s="677"/>
      <c r="J32" s="677"/>
      <c r="K32" s="677"/>
      <c r="L32" s="677">
        <v>18</v>
      </c>
      <c r="M32" s="677"/>
      <c r="N32" s="677"/>
      <c r="O32" s="677"/>
      <c r="P32" s="677"/>
      <c r="Q32" s="677" t="s">
        <v>1033</v>
      </c>
      <c r="R32" s="677"/>
      <c r="S32" s="677" t="s">
        <v>674</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2084</v>
      </c>
      <c r="B33" s="677">
        <v>29994</v>
      </c>
      <c r="C33" s="677">
        <v>2</v>
      </c>
      <c r="D33" s="677"/>
      <c r="E33" s="677">
        <v>28</v>
      </c>
      <c r="F33" s="677">
        <v>68</v>
      </c>
      <c r="G33" s="677"/>
      <c r="H33" s="677"/>
      <c r="I33" s="677"/>
      <c r="J33" s="677"/>
      <c r="K33" s="677"/>
      <c r="L33" s="677">
        <v>28</v>
      </c>
      <c r="M33" s="677"/>
      <c r="N33" s="677"/>
      <c r="O33" s="677"/>
      <c r="P33" s="677"/>
      <c r="Q33" s="677" t="s">
        <v>1033</v>
      </c>
      <c r="R33" s="677"/>
      <c r="S33" s="677" t="s">
        <v>680</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1355</v>
      </c>
      <c r="B34" s="726">
        <v>35495</v>
      </c>
      <c r="C34" s="726">
        <v>5</v>
      </c>
      <c r="D34" s="726"/>
      <c r="E34" s="726">
        <v>23</v>
      </c>
      <c r="F34" s="726">
        <v>48</v>
      </c>
      <c r="G34" s="726"/>
      <c r="H34" s="726"/>
      <c r="I34" s="726"/>
      <c r="J34" s="726"/>
      <c r="K34" s="726"/>
      <c r="L34" s="726">
        <v>22</v>
      </c>
      <c r="M34" s="726"/>
      <c r="N34" s="726"/>
      <c r="O34" s="726"/>
      <c r="P34" s="726"/>
      <c r="Q34" s="726" t="s">
        <v>1033</v>
      </c>
      <c r="R34" s="726"/>
      <c r="S34" s="726" t="s">
        <v>691</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2207</v>
      </c>
      <c r="B37" s="114"/>
      <c r="C37" s="114"/>
      <c r="D37" s="10"/>
      <c r="E37" s="10"/>
      <c r="F37" s="10"/>
      <c r="G37" s="10"/>
      <c r="H37" s="10"/>
      <c r="I37" s="10"/>
      <c r="J37" s="10"/>
      <c r="K37" s="10"/>
      <c r="L37" s="10"/>
      <c r="M37" s="10"/>
      <c r="N37" s="10"/>
      <c r="O37" s="10"/>
      <c r="P37" s="10"/>
      <c r="Q37" s="114" t="s">
        <v>1033</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2086</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47" t="s">
        <v>1689</v>
      </c>
    </row>
    <row r="41" spans="1:25">
      <c r="A41" s="694" t="s">
        <v>2087</v>
      </c>
      <c r="B41" s="695">
        <v>2622</v>
      </c>
      <c r="C41" s="695">
        <v>1</v>
      </c>
      <c r="D41" s="695"/>
      <c r="E41" s="695"/>
      <c r="F41" s="695"/>
      <c r="G41" s="696"/>
      <c r="H41" s="696"/>
      <c r="I41" s="698"/>
      <c r="J41" s="695"/>
      <c r="K41" s="745"/>
      <c r="L41" s="695"/>
      <c r="M41" s="696">
        <v>12</v>
      </c>
      <c r="N41" s="745"/>
      <c r="O41" s="696"/>
      <c r="P41" s="698"/>
      <c r="Q41" s="698"/>
      <c r="R41" s="698"/>
      <c r="S41" s="695" t="s">
        <v>1689</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row>
    <row r="42" spans="1:25">
      <c r="A42" s="676" t="s">
        <v>1121</v>
      </c>
      <c r="B42" s="677">
        <v>368</v>
      </c>
      <c r="C42" s="677">
        <v>1</v>
      </c>
      <c r="D42" s="677"/>
      <c r="E42" s="677">
        <v>12</v>
      </c>
      <c r="F42" s="677"/>
      <c r="G42" s="678"/>
      <c r="H42" s="678"/>
      <c r="I42" s="681"/>
      <c r="J42" s="677"/>
      <c r="K42" s="689"/>
      <c r="L42" s="677"/>
      <c r="M42" s="678"/>
      <c r="N42" s="746"/>
      <c r="O42" s="677"/>
      <c r="P42" s="681"/>
      <c r="Q42" s="681"/>
      <c r="R42" s="681"/>
      <c r="S42" s="677" t="s">
        <v>1689</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2813</v>
      </c>
      <c r="B43" s="677">
        <v>849</v>
      </c>
      <c r="C43" s="677">
        <v>1</v>
      </c>
      <c r="D43" s="677"/>
      <c r="E43" s="677">
        <v>3</v>
      </c>
      <c r="F43" s="677"/>
      <c r="G43" s="678"/>
      <c r="H43" s="678"/>
      <c r="I43" s="681"/>
      <c r="J43" s="677"/>
      <c r="K43" s="689"/>
      <c r="L43" s="677"/>
      <c r="M43" s="678"/>
      <c r="N43" s="746"/>
      <c r="O43" s="677"/>
      <c r="P43" s="681"/>
      <c r="Q43" s="681"/>
      <c r="R43" s="681"/>
      <c r="S43" s="677" t="s">
        <v>1689</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2088</v>
      </c>
      <c r="B44" s="677">
        <v>910</v>
      </c>
      <c r="C44" s="677">
        <v>1</v>
      </c>
      <c r="D44" s="677"/>
      <c r="E44" s="677"/>
      <c r="F44" s="677"/>
      <c r="G44" s="678"/>
      <c r="H44" s="678"/>
      <c r="I44" s="681"/>
      <c r="J44" s="677"/>
      <c r="K44" s="746"/>
      <c r="L44" s="677"/>
      <c r="M44" s="678"/>
      <c r="N44" s="746"/>
      <c r="O44" s="678"/>
      <c r="P44" s="681"/>
      <c r="Q44" s="681"/>
      <c r="R44" s="681"/>
      <c r="S44" s="677" t="s">
        <v>1689</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2089</v>
      </c>
      <c r="B45" s="677">
        <v>2621</v>
      </c>
      <c r="C45" s="677">
        <v>1</v>
      </c>
      <c r="D45" s="677"/>
      <c r="E45" s="677"/>
      <c r="F45" s="677"/>
      <c r="G45" s="678"/>
      <c r="H45" s="678"/>
      <c r="I45" s="681"/>
      <c r="J45" s="677"/>
      <c r="K45" s="746"/>
      <c r="L45" s="677"/>
      <c r="M45" s="678"/>
      <c r="N45" s="746"/>
      <c r="O45" s="678"/>
      <c r="P45" s="681"/>
      <c r="Q45" s="681"/>
      <c r="R45" s="681"/>
      <c r="S45" s="677" t="s">
        <v>1689</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2207</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X39" sqref="X39:X46"/>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1124</v>
      </c>
    </row>
    <row r="2" spans="1:25">
      <c r="A2" s="694" t="s">
        <v>1179</v>
      </c>
      <c r="B2" s="696">
        <v>29340</v>
      </c>
      <c r="C2" s="696">
        <v>1</v>
      </c>
      <c r="D2" s="695"/>
      <c r="E2" s="695">
        <v>24</v>
      </c>
      <c r="F2" s="695">
        <v>18</v>
      </c>
      <c r="G2" s="696"/>
      <c r="H2" s="696">
        <v>19</v>
      </c>
      <c r="I2" s="696"/>
      <c r="J2" s="695"/>
      <c r="K2" s="696"/>
      <c r="L2" s="695"/>
      <c r="M2" s="696">
        <v>24</v>
      </c>
      <c r="N2" s="696"/>
      <c r="O2" s="696"/>
      <c r="P2" s="696"/>
      <c r="Q2" s="695" t="s">
        <v>2090</v>
      </c>
      <c r="R2" s="695" t="s">
        <v>1465</v>
      </c>
      <c r="S2" s="695" t="s">
        <v>675</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Monk's Tunic</v>
      </c>
    </row>
    <row r="3" spans="1:25">
      <c r="A3" s="676" t="s">
        <v>967</v>
      </c>
      <c r="B3" s="678">
        <v>34397</v>
      </c>
      <c r="C3" s="678">
        <v>5</v>
      </c>
      <c r="D3" s="677"/>
      <c r="E3" s="677">
        <v>42</v>
      </c>
      <c r="F3" s="677">
        <v>120</v>
      </c>
      <c r="G3" s="678">
        <v>38</v>
      </c>
      <c r="H3" s="678"/>
      <c r="I3" s="678"/>
      <c r="J3" s="677">
        <v>210</v>
      </c>
      <c r="K3" s="678"/>
      <c r="L3" s="677">
        <v>45</v>
      </c>
      <c r="M3" s="678"/>
      <c r="N3" s="678"/>
      <c r="O3" s="678"/>
      <c r="P3" s="678"/>
      <c r="Q3" s="677" t="s">
        <v>2093</v>
      </c>
      <c r="R3" s="677" t="s">
        <v>1065</v>
      </c>
      <c r="S3" s="677" t="s">
        <v>871</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2091</v>
      </c>
      <c r="B4" s="678">
        <v>30101</v>
      </c>
      <c r="C4" s="678">
        <v>2</v>
      </c>
      <c r="D4" s="677"/>
      <c r="E4" s="677"/>
      <c r="F4" s="677">
        <v>92</v>
      </c>
      <c r="G4" s="678">
        <v>36</v>
      </c>
      <c r="H4" s="678">
        <v>27</v>
      </c>
      <c r="I4" s="678"/>
      <c r="J4" s="677"/>
      <c r="K4" s="678"/>
      <c r="L4" s="677">
        <v>24</v>
      </c>
      <c r="M4" s="678"/>
      <c r="N4" s="678"/>
      <c r="O4" s="678"/>
      <c r="P4" s="678"/>
      <c r="Q4" s="677" t="s">
        <v>2092</v>
      </c>
      <c r="R4" s="677" t="s">
        <v>1065</v>
      </c>
      <c r="S4" s="677" t="s">
        <v>667</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2341</v>
      </c>
      <c r="B5" s="677">
        <v>22476</v>
      </c>
      <c r="C5" s="677">
        <v>1</v>
      </c>
      <c r="D5" s="677"/>
      <c r="E5" s="677"/>
      <c r="F5" s="677">
        <v>80</v>
      </c>
      <c r="G5" s="678">
        <v>28</v>
      </c>
      <c r="H5" s="678">
        <v>10</v>
      </c>
      <c r="I5" s="677"/>
      <c r="J5" s="677"/>
      <c r="K5" s="677"/>
      <c r="L5" s="677">
        <v>29</v>
      </c>
      <c r="M5" s="678"/>
      <c r="N5" s="678"/>
      <c r="O5" s="677"/>
      <c r="P5" s="677" t="s">
        <v>2335</v>
      </c>
      <c r="Q5" s="677" t="s">
        <v>1033</v>
      </c>
      <c r="R5" s="677"/>
      <c r="S5" s="677" t="s">
        <v>668</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1986</v>
      </c>
      <c r="B6" s="677">
        <v>35036</v>
      </c>
      <c r="C6" s="677">
        <v>5</v>
      </c>
      <c r="D6" s="677"/>
      <c r="E6" s="677">
        <v>36</v>
      </c>
      <c r="F6" s="677">
        <v>58</v>
      </c>
      <c r="G6" s="678">
        <v>22</v>
      </c>
      <c r="H6" s="678">
        <v>17</v>
      </c>
      <c r="I6" s="677"/>
      <c r="J6" s="677">
        <v>84</v>
      </c>
      <c r="K6" s="677"/>
      <c r="L6" s="677">
        <v>71</v>
      </c>
      <c r="M6" s="678"/>
      <c r="N6" s="678">
        <v>25</v>
      </c>
      <c r="O6" s="677"/>
      <c r="P6" s="677" t="s">
        <v>1068</v>
      </c>
      <c r="Q6" s="677" t="s">
        <v>2090</v>
      </c>
      <c r="R6" s="677" t="s">
        <v>817</v>
      </c>
      <c r="S6" s="677" t="s">
        <v>677</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708</v>
      </c>
      <c r="B7" s="677">
        <v>34369</v>
      </c>
      <c r="C7" s="677">
        <v>5</v>
      </c>
      <c r="D7" s="677"/>
      <c r="E7" s="677">
        <v>42</v>
      </c>
      <c r="F7" s="677">
        <v>120</v>
      </c>
      <c r="G7" s="678"/>
      <c r="H7" s="678">
        <v>30</v>
      </c>
      <c r="I7" s="677">
        <v>38</v>
      </c>
      <c r="J7" s="677"/>
      <c r="K7" s="677"/>
      <c r="L7" s="677">
        <v>45</v>
      </c>
      <c r="M7" s="678"/>
      <c r="N7" s="678"/>
      <c r="O7" s="677"/>
      <c r="P7" s="687"/>
      <c r="Q7" s="677" t="s">
        <v>2090</v>
      </c>
      <c r="R7" s="677" t="s">
        <v>1065</v>
      </c>
      <c r="S7" s="677" t="s">
        <v>687</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1125</v>
      </c>
      <c r="B8" s="677">
        <v>28601</v>
      </c>
      <c r="C8" s="677">
        <v>1</v>
      </c>
      <c r="D8" s="677"/>
      <c r="E8" s="677">
        <v>37</v>
      </c>
      <c r="F8" s="677">
        <v>90</v>
      </c>
      <c r="G8" s="678"/>
      <c r="H8" s="678">
        <v>22</v>
      </c>
      <c r="I8" s="677"/>
      <c r="J8" s="677"/>
      <c r="K8" s="677"/>
      <c r="L8" s="677">
        <v>36</v>
      </c>
      <c r="M8" s="678"/>
      <c r="N8" s="678"/>
      <c r="O8" s="677"/>
      <c r="P8" s="687"/>
      <c r="Q8" s="677" t="s">
        <v>1033</v>
      </c>
      <c r="R8" s="677"/>
      <c r="S8" s="678" t="s">
        <v>672</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955</v>
      </c>
      <c r="B9" s="677">
        <v>27461</v>
      </c>
      <c r="C9" s="677">
        <v>1</v>
      </c>
      <c r="D9" s="677"/>
      <c r="E9" s="677">
        <v>31</v>
      </c>
      <c r="F9" s="677">
        <v>70</v>
      </c>
      <c r="G9" s="678"/>
      <c r="H9" s="678">
        <v>17</v>
      </c>
      <c r="I9" s="677"/>
      <c r="J9" s="677"/>
      <c r="K9" s="677"/>
      <c r="L9" s="677">
        <v>26</v>
      </c>
      <c r="M9" s="678"/>
      <c r="N9" s="678"/>
      <c r="O9" s="677"/>
      <c r="P9" s="687"/>
      <c r="Q9" s="677" t="s">
        <v>1033</v>
      </c>
      <c r="R9" s="677"/>
      <c r="S9" s="677" t="s">
        <v>691</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815</v>
      </c>
      <c r="B10" s="677">
        <v>30144</v>
      </c>
      <c r="C10" s="677">
        <v>2</v>
      </c>
      <c r="D10" s="677"/>
      <c r="E10" s="677">
        <v>33</v>
      </c>
      <c r="F10" s="677">
        <v>94</v>
      </c>
      <c r="G10" s="678">
        <v>17</v>
      </c>
      <c r="H10" s="678"/>
      <c r="I10" s="677"/>
      <c r="J10" s="677"/>
      <c r="K10" s="677"/>
      <c r="L10" s="677">
        <v>57</v>
      </c>
      <c r="M10" s="678"/>
      <c r="N10" s="678"/>
      <c r="O10" s="677"/>
      <c r="P10" s="677" t="s">
        <v>1063</v>
      </c>
      <c r="Q10" s="677" t="s">
        <v>2092</v>
      </c>
      <c r="R10" s="677" t="s">
        <v>1056</v>
      </c>
      <c r="S10" s="677" t="s">
        <v>680</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1885</v>
      </c>
      <c r="B11" s="677">
        <v>34906</v>
      </c>
      <c r="C11" s="677">
        <v>5</v>
      </c>
      <c r="D11" s="677">
        <v>40</v>
      </c>
      <c r="E11" s="677">
        <v>49</v>
      </c>
      <c r="F11" s="677"/>
      <c r="G11" s="678"/>
      <c r="H11" s="678"/>
      <c r="I11" s="677">
        <v>20</v>
      </c>
      <c r="J11" s="677"/>
      <c r="K11" s="677"/>
      <c r="L11" s="677">
        <v>52</v>
      </c>
      <c r="M11" s="678"/>
      <c r="N11" s="678"/>
      <c r="O11" s="677"/>
      <c r="P11" s="677"/>
      <c r="Q11" s="677" t="s">
        <v>1035</v>
      </c>
      <c r="R11" s="677" t="s">
        <v>1338</v>
      </c>
      <c r="S11" s="677" t="s">
        <v>691</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816</v>
      </c>
      <c r="B12" s="677">
        <v>25831</v>
      </c>
      <c r="C12" s="677">
        <v>1</v>
      </c>
      <c r="D12" s="677"/>
      <c r="E12" s="677">
        <v>33</v>
      </c>
      <c r="F12" s="677">
        <v>30</v>
      </c>
      <c r="G12" s="678">
        <v>12</v>
      </c>
      <c r="H12" s="678"/>
      <c r="I12" s="677"/>
      <c r="J12" s="677"/>
      <c r="K12" s="677"/>
      <c r="L12" s="677">
        <v>50</v>
      </c>
      <c r="M12" s="678"/>
      <c r="N12" s="678">
        <v>23</v>
      </c>
      <c r="O12" s="677"/>
      <c r="P12" s="677" t="s">
        <v>1068</v>
      </c>
      <c r="Q12" s="677" t="s">
        <v>2090</v>
      </c>
      <c r="R12" s="677" t="s">
        <v>817</v>
      </c>
      <c r="S12" s="677" t="s">
        <v>677</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870</v>
      </c>
      <c r="B13" s="677">
        <v>34211</v>
      </c>
      <c r="C13" s="677">
        <v>5</v>
      </c>
      <c r="D13" s="677">
        <v>52</v>
      </c>
      <c r="E13" s="677">
        <v>44</v>
      </c>
      <c r="F13" s="677"/>
      <c r="G13" s="677"/>
      <c r="H13" s="677"/>
      <c r="I13" s="677"/>
      <c r="J13" s="677">
        <v>196</v>
      </c>
      <c r="K13" s="677"/>
      <c r="L13" s="677">
        <v>64</v>
      </c>
      <c r="M13" s="677"/>
      <c r="N13" s="677"/>
      <c r="O13" s="677"/>
      <c r="P13" s="677"/>
      <c r="Q13" s="677" t="s">
        <v>2093</v>
      </c>
      <c r="R13" s="677" t="s">
        <v>1056</v>
      </c>
      <c r="S13" s="677" t="s">
        <v>871</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818</v>
      </c>
      <c r="B14" s="677">
        <v>30933</v>
      </c>
      <c r="C14" s="677">
        <v>1</v>
      </c>
      <c r="D14" s="677"/>
      <c r="E14" s="677">
        <v>25</v>
      </c>
      <c r="F14" s="677">
        <v>90</v>
      </c>
      <c r="G14" s="677"/>
      <c r="H14" s="677">
        <v>12</v>
      </c>
      <c r="I14" s="677"/>
      <c r="J14" s="677"/>
      <c r="K14" s="677"/>
      <c r="L14" s="677">
        <v>18</v>
      </c>
      <c r="M14" s="677"/>
      <c r="N14" s="677"/>
      <c r="O14" s="677"/>
      <c r="P14" s="677"/>
      <c r="Q14" s="677" t="s">
        <v>1033</v>
      </c>
      <c r="R14" s="677"/>
      <c r="S14" s="677" t="s">
        <v>675</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2342</v>
      </c>
      <c r="B15" s="677">
        <v>32869</v>
      </c>
      <c r="C15" s="677">
        <v>1</v>
      </c>
      <c r="D15" s="677"/>
      <c r="E15" s="677">
        <v>29</v>
      </c>
      <c r="F15" s="677">
        <v>44</v>
      </c>
      <c r="G15" s="677"/>
      <c r="H15" s="677"/>
      <c r="I15" s="677"/>
      <c r="J15" s="677"/>
      <c r="K15" s="677"/>
      <c r="L15" s="677">
        <v>24</v>
      </c>
      <c r="M15" s="677"/>
      <c r="N15" s="677"/>
      <c r="O15" s="677"/>
      <c r="P15" s="677"/>
      <c r="Q15" s="677" t="s">
        <v>2343</v>
      </c>
      <c r="R15" s="677"/>
      <c r="S15" s="677" t="s">
        <v>675</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819</v>
      </c>
      <c r="B16" s="677">
        <v>28172</v>
      </c>
      <c r="C16" s="677">
        <v>1</v>
      </c>
      <c r="D16" s="677"/>
      <c r="E16" s="677">
        <v>23</v>
      </c>
      <c r="F16" s="677">
        <v>86</v>
      </c>
      <c r="G16" s="677"/>
      <c r="H16" s="677">
        <v>12</v>
      </c>
      <c r="I16" s="677"/>
      <c r="J16" s="677"/>
      <c r="K16" s="677"/>
      <c r="L16" s="677">
        <v>18</v>
      </c>
      <c r="M16" s="677"/>
      <c r="N16" s="677"/>
      <c r="O16" s="677"/>
      <c r="P16" s="677"/>
      <c r="Q16" s="677" t="s">
        <v>1033</v>
      </c>
      <c r="R16" s="677"/>
      <c r="S16" s="677" t="s">
        <v>675</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821</v>
      </c>
      <c r="B17" s="677">
        <v>32002</v>
      </c>
      <c r="C17" s="677">
        <v>2</v>
      </c>
      <c r="D17" s="677"/>
      <c r="E17" s="677">
        <v>37</v>
      </c>
      <c r="F17" s="677">
        <v>40</v>
      </c>
      <c r="G17" s="678">
        <v>13</v>
      </c>
      <c r="H17" s="678"/>
      <c r="I17" s="677"/>
      <c r="J17" s="677"/>
      <c r="K17" s="677"/>
      <c r="L17" s="677">
        <v>57</v>
      </c>
      <c r="M17" s="678"/>
      <c r="N17" s="678">
        <v>25</v>
      </c>
      <c r="O17" s="677"/>
      <c r="P17" s="677" t="s">
        <v>1068</v>
      </c>
      <c r="Q17" s="677" t="s">
        <v>2090</v>
      </c>
      <c r="R17" s="677" t="s">
        <v>817</v>
      </c>
      <c r="S17" s="677" t="s">
        <v>677</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500</v>
      </c>
      <c r="B18" s="677">
        <v>30905</v>
      </c>
      <c r="C18" s="677">
        <v>3</v>
      </c>
      <c r="D18" s="677"/>
      <c r="E18" s="677"/>
      <c r="F18" s="677">
        <v>106</v>
      </c>
      <c r="G18" s="677">
        <v>46</v>
      </c>
      <c r="H18" s="677">
        <v>29</v>
      </c>
      <c r="I18" s="677"/>
      <c r="J18" s="677"/>
      <c r="K18" s="677"/>
      <c r="L18" s="677">
        <v>64</v>
      </c>
      <c r="M18" s="677"/>
      <c r="N18" s="677"/>
      <c r="O18" s="677"/>
      <c r="P18" s="677"/>
      <c r="Q18" s="677" t="s">
        <v>2093</v>
      </c>
      <c r="R18" s="677" t="s">
        <v>1065</v>
      </c>
      <c r="S18" s="677" t="s">
        <v>684</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823</v>
      </c>
      <c r="B19" s="677">
        <v>32252</v>
      </c>
      <c r="C19" s="677">
        <v>3</v>
      </c>
      <c r="D19" s="677"/>
      <c r="E19" s="677">
        <v>36</v>
      </c>
      <c r="F19" s="677">
        <v>86</v>
      </c>
      <c r="G19" s="678"/>
      <c r="H19" s="678">
        <v>35</v>
      </c>
      <c r="I19" s="677"/>
      <c r="J19" s="677"/>
      <c r="K19" s="677"/>
      <c r="L19" s="677">
        <v>52</v>
      </c>
      <c r="M19" s="678"/>
      <c r="N19" s="678"/>
      <c r="O19" s="677"/>
      <c r="P19" s="677"/>
      <c r="Q19" s="677" t="s">
        <v>2093</v>
      </c>
      <c r="R19" s="677" t="s">
        <v>1065</v>
      </c>
      <c r="S19" s="677" t="s">
        <v>683</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822</v>
      </c>
      <c r="B20" s="677">
        <v>29045</v>
      </c>
      <c r="C20" s="677">
        <v>1</v>
      </c>
      <c r="D20" s="677"/>
      <c r="E20" s="677">
        <v>35</v>
      </c>
      <c r="F20" s="677">
        <v>74</v>
      </c>
      <c r="G20" s="678"/>
      <c r="H20" s="678">
        <v>11</v>
      </c>
      <c r="I20" s="677"/>
      <c r="J20" s="677"/>
      <c r="K20" s="677"/>
      <c r="L20" s="677">
        <v>39</v>
      </c>
      <c r="M20" s="678"/>
      <c r="N20" s="678"/>
      <c r="O20" s="677"/>
      <c r="P20" s="677" t="s">
        <v>1078</v>
      </c>
      <c r="Q20" s="677" t="s">
        <v>2093</v>
      </c>
      <c r="R20" s="677" t="s">
        <v>1056</v>
      </c>
      <c r="S20" s="677" t="s">
        <v>679</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706</v>
      </c>
      <c r="B21" s="677">
        <v>35370</v>
      </c>
      <c r="C21" s="677">
        <v>1</v>
      </c>
      <c r="D21" s="677"/>
      <c r="E21" s="677">
        <v>20</v>
      </c>
      <c r="F21" s="677">
        <v>12</v>
      </c>
      <c r="G21" s="678">
        <v>10</v>
      </c>
      <c r="H21" s="678"/>
      <c r="I21" s="677"/>
      <c r="J21" s="677"/>
      <c r="K21" s="677"/>
      <c r="L21" s="677">
        <v>42</v>
      </c>
      <c r="M21" s="678"/>
      <c r="N21" s="678">
        <v>24</v>
      </c>
      <c r="O21" s="677"/>
      <c r="P21" s="677" t="s">
        <v>2861</v>
      </c>
      <c r="Q21" s="677" t="s">
        <v>2090</v>
      </c>
      <c r="R21" s="677" t="s">
        <v>817</v>
      </c>
      <c r="S21" s="677" t="s">
        <v>676</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827</v>
      </c>
      <c r="B22" s="677">
        <v>29973</v>
      </c>
      <c r="C22" s="677">
        <v>1</v>
      </c>
      <c r="D22" s="677"/>
      <c r="E22" s="677">
        <v>30</v>
      </c>
      <c r="F22" s="677">
        <v>60</v>
      </c>
      <c r="G22" s="678"/>
      <c r="H22" s="678">
        <v>17</v>
      </c>
      <c r="I22" s="677"/>
      <c r="J22" s="677"/>
      <c r="K22" s="677"/>
      <c r="L22" s="677">
        <v>27</v>
      </c>
      <c r="M22" s="678"/>
      <c r="N22" s="678"/>
      <c r="O22" s="677"/>
      <c r="P22" s="677"/>
      <c r="Q22" s="677" t="s">
        <v>1033</v>
      </c>
      <c r="R22" s="677"/>
      <c r="S22" s="677" t="s">
        <v>687</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825</v>
      </c>
      <c r="B23" s="677">
        <v>29525</v>
      </c>
      <c r="C23" s="677">
        <v>1</v>
      </c>
      <c r="D23" s="677"/>
      <c r="E23" s="677">
        <v>38</v>
      </c>
      <c r="F23" s="677">
        <v>108</v>
      </c>
      <c r="G23" s="678"/>
      <c r="H23" s="678">
        <v>12</v>
      </c>
      <c r="I23" s="677"/>
      <c r="J23" s="677"/>
      <c r="K23" s="677"/>
      <c r="L23" s="677">
        <v>39</v>
      </c>
      <c r="M23" s="678"/>
      <c r="N23" s="678"/>
      <c r="O23" s="677"/>
      <c r="P23" s="677" t="s">
        <v>826</v>
      </c>
      <c r="Q23" s="677" t="s">
        <v>1033</v>
      </c>
      <c r="R23" s="677"/>
      <c r="S23" s="677" t="s">
        <v>687</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828</v>
      </c>
      <c r="B24" s="677">
        <v>30328</v>
      </c>
      <c r="C24" s="677">
        <v>1</v>
      </c>
      <c r="D24" s="677"/>
      <c r="E24" s="677">
        <v>26</v>
      </c>
      <c r="F24" s="677">
        <v>52</v>
      </c>
      <c r="G24" s="678"/>
      <c r="H24" s="678">
        <v>21</v>
      </c>
      <c r="I24" s="677"/>
      <c r="J24" s="677"/>
      <c r="K24" s="677"/>
      <c r="L24" s="677">
        <v>24</v>
      </c>
      <c r="M24" s="678"/>
      <c r="N24" s="678"/>
      <c r="O24" s="677"/>
      <c r="P24" s="677"/>
      <c r="Q24" s="677" t="s">
        <v>1033</v>
      </c>
      <c r="R24" s="677"/>
      <c r="S24" s="677" t="s">
        <v>675</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1471</v>
      </c>
      <c r="B25" s="677">
        <v>33204</v>
      </c>
      <c r="C25" s="677">
        <v>3</v>
      </c>
      <c r="D25" s="677">
        <v>32</v>
      </c>
      <c r="E25" s="677">
        <v>40</v>
      </c>
      <c r="F25" s="677"/>
      <c r="G25" s="678"/>
      <c r="H25" s="678">
        <v>8</v>
      </c>
      <c r="I25" s="677"/>
      <c r="J25" s="677"/>
      <c r="K25" s="677"/>
      <c r="L25" s="677">
        <v>12</v>
      </c>
      <c r="M25" s="678"/>
      <c r="N25" s="678"/>
      <c r="O25" s="677"/>
      <c r="P25" s="677"/>
      <c r="Q25" s="677" t="s">
        <v>2093</v>
      </c>
      <c r="R25" s="677" t="s">
        <v>1056</v>
      </c>
      <c r="S25" s="677" t="s">
        <v>685</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546</v>
      </c>
      <c r="B26" s="677">
        <v>33329</v>
      </c>
      <c r="C26" s="677">
        <v>4</v>
      </c>
      <c r="D26" s="677"/>
      <c r="E26" s="677">
        <v>45</v>
      </c>
      <c r="F26" s="677">
        <v>92</v>
      </c>
      <c r="G26" s="678"/>
      <c r="H26" s="678"/>
      <c r="I26" s="677"/>
      <c r="J26" s="677">
        <v>210</v>
      </c>
      <c r="K26" s="677"/>
      <c r="L26" s="677">
        <v>46</v>
      </c>
      <c r="M26" s="678"/>
      <c r="N26" s="678"/>
      <c r="O26" s="677"/>
      <c r="P26" s="677"/>
      <c r="Q26" s="677" t="s">
        <v>1033</v>
      </c>
      <c r="R26" s="677"/>
      <c r="S26" s="677" t="s">
        <v>664</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829</v>
      </c>
      <c r="B27" s="677">
        <v>31028</v>
      </c>
      <c r="C27" s="677">
        <v>3</v>
      </c>
      <c r="D27" s="677"/>
      <c r="E27" s="677">
        <v>45</v>
      </c>
      <c r="F27" s="677">
        <v>92</v>
      </c>
      <c r="G27" s="678">
        <v>28</v>
      </c>
      <c r="H27" s="678">
        <v>15</v>
      </c>
      <c r="I27" s="677"/>
      <c r="J27" s="677"/>
      <c r="K27" s="677"/>
      <c r="L27" s="677">
        <v>55</v>
      </c>
      <c r="M27" s="678"/>
      <c r="N27" s="678"/>
      <c r="O27" s="677"/>
      <c r="P27" s="677" t="s">
        <v>999</v>
      </c>
      <c r="Q27" s="677" t="s">
        <v>2092</v>
      </c>
      <c r="R27" s="677" t="s">
        <v>1065</v>
      </c>
      <c r="S27" s="677" t="s">
        <v>683</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830</v>
      </c>
      <c r="B28" s="677">
        <v>30730</v>
      </c>
      <c r="C28" s="677">
        <v>1</v>
      </c>
      <c r="D28" s="677"/>
      <c r="E28" s="677"/>
      <c r="F28" s="677">
        <v>96</v>
      </c>
      <c r="G28" s="678">
        <v>25</v>
      </c>
      <c r="H28" s="678">
        <v>21</v>
      </c>
      <c r="I28" s="677"/>
      <c r="J28" s="677"/>
      <c r="K28" s="677"/>
      <c r="L28" s="677"/>
      <c r="M28" s="678"/>
      <c r="N28" s="678"/>
      <c r="O28" s="677"/>
      <c r="P28" s="677"/>
      <c r="Q28" s="677" t="s">
        <v>831</v>
      </c>
      <c r="R28" s="677" t="s">
        <v>817</v>
      </c>
      <c r="S28" s="677" t="s">
        <v>681</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2053</v>
      </c>
      <c r="B29" s="677">
        <v>28204</v>
      </c>
      <c r="C29" s="677">
        <v>1</v>
      </c>
      <c r="D29" s="677"/>
      <c r="E29" s="677">
        <v>28</v>
      </c>
      <c r="F29" s="677">
        <v>54</v>
      </c>
      <c r="G29" s="678"/>
      <c r="H29" s="678"/>
      <c r="I29" s="677"/>
      <c r="J29" s="677"/>
      <c r="K29" s="677"/>
      <c r="L29" s="677">
        <v>21</v>
      </c>
      <c r="M29" s="678"/>
      <c r="N29" s="678"/>
      <c r="O29" s="677"/>
      <c r="P29" s="677" t="s">
        <v>2146</v>
      </c>
      <c r="Q29" s="677" t="s">
        <v>2054</v>
      </c>
      <c r="R29" s="677" t="s">
        <v>1072</v>
      </c>
      <c r="S29" s="677" t="s">
        <v>673</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1891</v>
      </c>
      <c r="B30" s="677">
        <v>34927</v>
      </c>
      <c r="C30" s="677">
        <v>5</v>
      </c>
      <c r="D30" s="677"/>
      <c r="E30" s="677">
        <v>44</v>
      </c>
      <c r="F30" s="677">
        <v>102</v>
      </c>
      <c r="G30" s="678"/>
      <c r="H30" s="678">
        <v>34</v>
      </c>
      <c r="I30" s="677"/>
      <c r="J30" s="677"/>
      <c r="K30" s="677"/>
      <c r="L30" s="677">
        <v>51</v>
      </c>
      <c r="M30" s="678"/>
      <c r="N30" s="678"/>
      <c r="O30" s="677"/>
      <c r="P30" s="677"/>
      <c r="Q30" s="677" t="s">
        <v>1035</v>
      </c>
      <c r="R30" s="677" t="s">
        <v>1338</v>
      </c>
      <c r="S30" s="677" t="s">
        <v>691</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1527</v>
      </c>
      <c r="B31" s="677">
        <v>33704</v>
      </c>
      <c r="C31" s="677">
        <v>3</v>
      </c>
      <c r="D31" s="677"/>
      <c r="E31" s="677">
        <v>31</v>
      </c>
      <c r="F31" s="677">
        <v>48</v>
      </c>
      <c r="G31" s="678">
        <v>17</v>
      </c>
      <c r="H31" s="678">
        <v>12</v>
      </c>
      <c r="I31" s="677"/>
      <c r="J31" s="677">
        <v>84</v>
      </c>
      <c r="K31" s="677"/>
      <c r="L31" s="677">
        <v>64</v>
      </c>
      <c r="M31" s="678"/>
      <c r="N31" s="678">
        <v>25</v>
      </c>
      <c r="O31" s="677"/>
      <c r="P31" s="677" t="s">
        <v>1068</v>
      </c>
      <c r="Q31" s="677" t="s">
        <v>2090</v>
      </c>
      <c r="R31" s="677" t="s">
        <v>817</v>
      </c>
      <c r="S31" s="677" t="s">
        <v>677</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2055</v>
      </c>
      <c r="B32" s="726">
        <v>24396</v>
      </c>
      <c r="C32" s="726">
        <v>1</v>
      </c>
      <c r="D32" s="726"/>
      <c r="E32" s="726">
        <v>27</v>
      </c>
      <c r="F32" s="726">
        <v>42</v>
      </c>
      <c r="G32" s="727"/>
      <c r="H32" s="727">
        <v>11</v>
      </c>
      <c r="I32" s="726"/>
      <c r="J32" s="726"/>
      <c r="K32" s="726"/>
      <c r="L32" s="726">
        <v>18</v>
      </c>
      <c r="M32" s="727"/>
      <c r="N32" s="727"/>
      <c r="O32" s="726"/>
      <c r="P32" s="726"/>
      <c r="Q32" s="726" t="s">
        <v>2093</v>
      </c>
      <c r="R32" s="726" t="s">
        <v>1072</v>
      </c>
      <c r="S32" s="677" t="s">
        <v>673</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2344</v>
      </c>
      <c r="B33" s="114">
        <v>33579</v>
      </c>
      <c r="C33" s="114">
        <v>3</v>
      </c>
      <c r="D33" s="114">
        <v>46</v>
      </c>
      <c r="E33" s="114">
        <v>45</v>
      </c>
      <c r="F33" s="114"/>
      <c r="G33" s="116"/>
      <c r="H33" s="116"/>
      <c r="I33" s="114"/>
      <c r="J33" s="114">
        <v>150</v>
      </c>
      <c r="K33" s="114"/>
      <c r="L33" s="114">
        <v>36</v>
      </c>
      <c r="M33" s="116"/>
      <c r="N33" s="116"/>
      <c r="O33" s="114"/>
      <c r="P33" s="114"/>
      <c r="Q33" s="114" t="s">
        <v>1033</v>
      </c>
      <c r="R33" s="114"/>
      <c r="S33" s="680" t="s">
        <v>691</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0" t="s">
        <v>691</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2207</v>
      </c>
      <c r="B36" s="114"/>
      <c r="C36" s="114"/>
      <c r="D36" s="114"/>
      <c r="E36" s="114"/>
      <c r="F36" s="114"/>
      <c r="G36" s="116"/>
      <c r="H36" s="116"/>
      <c r="I36" s="47"/>
      <c r="J36" s="114"/>
      <c r="K36" s="114"/>
      <c r="L36" s="114"/>
      <c r="M36" s="116"/>
      <c r="N36" s="116"/>
      <c r="O36" s="754"/>
      <c r="P36" s="47"/>
      <c r="Q36" s="114" t="s">
        <v>1033</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2023</v>
      </c>
      <c r="B39" s="729" t="s">
        <v>1934</v>
      </c>
      <c r="C39" s="729" t="s">
        <v>2798</v>
      </c>
      <c r="D39" s="730" t="s">
        <v>1214</v>
      </c>
      <c r="E39" s="730" t="s">
        <v>1215</v>
      </c>
      <c r="F39" s="730" t="s">
        <v>768</v>
      </c>
      <c r="G39" s="729" t="s">
        <v>2140</v>
      </c>
      <c r="H39" s="729" t="s">
        <v>2139</v>
      </c>
      <c r="I39" s="729" t="s">
        <v>771</v>
      </c>
      <c r="J39" s="731" t="s">
        <v>770</v>
      </c>
      <c r="K39" s="729" t="s">
        <v>760</v>
      </c>
      <c r="L39" s="730" t="s">
        <v>1216</v>
      </c>
      <c r="M39" s="729" t="s">
        <v>264</v>
      </c>
      <c r="N39" s="729" t="s">
        <v>1217</v>
      </c>
      <c r="O39" s="729" t="s">
        <v>1287</v>
      </c>
      <c r="P39" s="729" t="s">
        <v>1046</v>
      </c>
      <c r="Q39" s="730" t="s">
        <v>1047</v>
      </c>
      <c r="R39" s="730" t="s">
        <v>1941</v>
      </c>
      <c r="S39" s="730" t="s">
        <v>666</v>
      </c>
      <c r="T39" s="729" t="s">
        <v>921</v>
      </c>
      <c r="U39" s="732" t="s">
        <v>265</v>
      </c>
      <c r="V39" s="743">
        <v>0</v>
      </c>
      <c r="W39" s="740"/>
      <c r="X39" s="758" t="s">
        <v>1689</v>
      </c>
    </row>
    <row r="40" spans="1:25">
      <c r="A40" s="694" t="s">
        <v>2161</v>
      </c>
      <c r="B40" s="695">
        <v>1950</v>
      </c>
      <c r="C40" s="695">
        <v>5</v>
      </c>
      <c r="D40" s="695"/>
      <c r="E40" s="695"/>
      <c r="F40" s="695"/>
      <c r="G40" s="696"/>
      <c r="H40" s="696"/>
      <c r="I40" s="696"/>
      <c r="J40" s="696"/>
      <c r="K40" s="696"/>
      <c r="L40" s="695"/>
      <c r="M40" s="696"/>
      <c r="N40" s="696"/>
      <c r="O40" s="696">
        <v>15</v>
      </c>
      <c r="P40" s="696"/>
      <c r="Q40" s="696"/>
      <c r="R40" s="695"/>
      <c r="S40" s="696" t="s">
        <v>1689</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row>
    <row r="41" spans="1:25">
      <c r="A41" s="676" t="s">
        <v>2025</v>
      </c>
      <c r="B41" s="677">
        <v>2659</v>
      </c>
      <c r="C41" s="677">
        <v>1</v>
      </c>
      <c r="D41" s="677"/>
      <c r="E41" s="677"/>
      <c r="F41" s="677"/>
      <c r="G41" s="678"/>
      <c r="H41" s="678"/>
      <c r="I41" s="681"/>
      <c r="J41" s="677"/>
      <c r="K41" s="678"/>
      <c r="L41" s="677">
        <v>15</v>
      </c>
      <c r="M41" s="678"/>
      <c r="N41" s="678"/>
      <c r="O41" s="716"/>
      <c r="P41" s="681"/>
      <c r="Q41" s="681"/>
      <c r="R41" s="681"/>
      <c r="S41" s="677" t="s">
        <v>1689</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1268</v>
      </c>
      <c r="B42" s="677">
        <v>2661</v>
      </c>
      <c r="C42" s="677">
        <v>1</v>
      </c>
      <c r="D42" s="677">
        <v>6</v>
      </c>
      <c r="E42" s="677">
        <v>6</v>
      </c>
      <c r="F42" s="677"/>
      <c r="G42" s="678"/>
      <c r="H42" s="678"/>
      <c r="I42" s="677"/>
      <c r="J42" s="677"/>
      <c r="K42" s="678"/>
      <c r="L42" s="677">
        <v>6</v>
      </c>
      <c r="M42" s="678"/>
      <c r="N42" s="678"/>
      <c r="O42" s="677"/>
      <c r="P42" s="677"/>
      <c r="Q42" s="677"/>
      <c r="R42" s="677"/>
      <c r="S42" s="677" t="s">
        <v>1689</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2024</v>
      </c>
      <c r="B43" s="677">
        <v>1891</v>
      </c>
      <c r="C43" s="677">
        <v>1</v>
      </c>
      <c r="D43" s="677">
        <v>4</v>
      </c>
      <c r="E43" s="677">
        <v>4</v>
      </c>
      <c r="F43" s="677"/>
      <c r="G43" s="678"/>
      <c r="H43" s="678"/>
      <c r="I43" s="681"/>
      <c r="J43" s="677"/>
      <c r="K43" s="678"/>
      <c r="L43" s="677">
        <v>4</v>
      </c>
      <c r="M43" s="678"/>
      <c r="N43" s="678"/>
      <c r="O43" s="716"/>
      <c r="P43" s="681"/>
      <c r="Q43" s="681"/>
      <c r="R43" s="681"/>
      <c r="S43" s="677" t="s">
        <v>1689</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2026</v>
      </c>
      <c r="B44" s="677">
        <v>2933</v>
      </c>
      <c r="C44" s="677">
        <v>1</v>
      </c>
      <c r="D44" s="677"/>
      <c r="E44" s="677"/>
      <c r="F44" s="677"/>
      <c r="G44" s="678"/>
      <c r="H44" s="678"/>
      <c r="I44" s="689"/>
      <c r="J44" s="689"/>
      <c r="K44" s="678"/>
      <c r="L44" s="677"/>
      <c r="M44" s="678"/>
      <c r="N44" s="678">
        <v>15</v>
      </c>
      <c r="O44" s="756"/>
      <c r="P44" s="689"/>
      <c r="Q44" s="689"/>
      <c r="R44" s="689"/>
      <c r="S44" s="677" t="s">
        <v>1689</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2814</v>
      </c>
      <c r="B45" s="677">
        <v>928</v>
      </c>
      <c r="C45" s="677">
        <v>1</v>
      </c>
      <c r="D45" s="677">
        <v>3</v>
      </c>
      <c r="E45" s="677">
        <v>3</v>
      </c>
      <c r="F45" s="677"/>
      <c r="G45" s="678"/>
      <c r="H45" s="678"/>
      <c r="I45" s="689"/>
      <c r="J45" s="689"/>
      <c r="K45" s="678"/>
      <c r="L45" s="677">
        <v>3</v>
      </c>
      <c r="M45" s="678"/>
      <c r="N45" s="678"/>
      <c r="O45" s="756"/>
      <c r="P45" s="689"/>
      <c r="Q45" s="689"/>
      <c r="R45" s="689"/>
      <c r="S45" s="677" t="s">
        <v>1689</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2207</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D32" sqref="AD32:AD38"/>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60"/>
      <c r="V1" s="706"/>
      <c r="W1" s="761" t="s">
        <v>568</v>
      </c>
      <c r="X1" s="707" t="s">
        <v>569</v>
      </c>
      <c r="Y1" s="761"/>
      <c r="Z1" s="759" t="s">
        <v>265</v>
      </c>
      <c r="AA1" s="759"/>
      <c r="AB1" s="725">
        <v>0</v>
      </c>
      <c r="AC1" s="725"/>
      <c r="AD1" s="762"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5"/>
      <c r="V2" s="696"/>
      <c r="W2" s="698" t="s">
        <v>632</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1689</v>
      </c>
      <c r="AE2" s="1392" t="str">
        <f>HYPERLINK("https://tbc.wowhead.com/item="&amp;B2,A2)</f>
        <v>Armwraps of Disdain</v>
      </c>
    </row>
    <row r="3" spans="1:31">
      <c r="A3" s="130" t="s">
        <v>2361</v>
      </c>
      <c r="B3" s="116">
        <v>33580</v>
      </c>
      <c r="C3" s="116">
        <v>3</v>
      </c>
      <c r="D3" s="114">
        <v>21</v>
      </c>
      <c r="E3" s="114">
        <v>22</v>
      </c>
      <c r="F3" s="114"/>
      <c r="G3" s="116"/>
      <c r="H3" s="116"/>
      <c r="I3" s="116"/>
      <c r="J3" s="114"/>
      <c r="K3" s="116"/>
      <c r="L3" s="114">
        <v>31</v>
      </c>
      <c r="M3" s="116"/>
      <c r="N3" s="116"/>
      <c r="O3" s="116"/>
      <c r="P3" s="114"/>
      <c r="Q3" s="114" t="s">
        <v>1043</v>
      </c>
      <c r="R3" s="114" t="s">
        <v>2363</v>
      </c>
      <c r="S3" s="114" t="s">
        <v>691</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6"/>
      <c r="V5" s="678"/>
      <c r="W5" s="681" t="s">
        <v>632</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1432</v>
      </c>
      <c r="B13" s="116">
        <v>33540</v>
      </c>
      <c r="C13" s="116">
        <v>3</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6"/>
      <c r="V15" s="678"/>
      <c r="W15" s="681" t="s">
        <v>1356</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6"/>
      <c r="V18" s="678"/>
      <c r="W18" s="681" t="s">
        <v>632</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6"/>
      <c r="V21" s="678"/>
      <c r="W21" s="681" t="s">
        <v>632</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2497</v>
      </c>
      <c r="B27" s="116">
        <v>32532</v>
      </c>
      <c r="C27" s="116">
        <v>1</v>
      </c>
      <c r="D27" s="114"/>
      <c r="E27" s="114"/>
      <c r="F27" s="114">
        <v>60</v>
      </c>
      <c r="G27" s="116">
        <v>12</v>
      </c>
      <c r="H27" s="116"/>
      <c r="I27" s="116"/>
      <c r="J27" s="114"/>
      <c r="K27" s="116"/>
      <c r="L27" s="114"/>
      <c r="M27" s="116"/>
      <c r="N27" s="116"/>
      <c r="O27" s="116"/>
      <c r="P27" s="114"/>
      <c r="Q27" s="114" t="s">
        <v>1033</v>
      </c>
      <c r="R27" s="114"/>
      <c r="S27" s="114" t="s">
        <v>673</v>
      </c>
      <c r="T27" s="116"/>
      <c r="U27" s="686"/>
      <c r="V27" s="678"/>
      <c r="W27" s="681" t="s">
        <v>632</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1307</v>
      </c>
      <c r="B32" s="729" t="s">
        <v>1934</v>
      </c>
      <c r="C32" s="729" t="s">
        <v>2798</v>
      </c>
      <c r="D32" s="730" t="s">
        <v>1214</v>
      </c>
      <c r="E32" s="730" t="s">
        <v>1215</v>
      </c>
      <c r="F32" s="730" t="s">
        <v>768</v>
      </c>
      <c r="G32" s="729" t="s">
        <v>2140</v>
      </c>
      <c r="H32" s="729" t="s">
        <v>2139</v>
      </c>
      <c r="I32" s="729" t="s">
        <v>771</v>
      </c>
      <c r="J32" s="731" t="s">
        <v>770</v>
      </c>
      <c r="K32" s="729" t="s">
        <v>760</v>
      </c>
      <c r="L32" s="730" t="s">
        <v>1216</v>
      </c>
      <c r="M32" s="729" t="s">
        <v>264</v>
      </c>
      <c r="N32" s="729" t="s">
        <v>1217</v>
      </c>
      <c r="O32" s="729" t="s">
        <v>1287</v>
      </c>
      <c r="P32" s="729" t="s">
        <v>1046</v>
      </c>
      <c r="Q32" s="730" t="s">
        <v>1047</v>
      </c>
      <c r="R32" s="730" t="s">
        <v>1941</v>
      </c>
      <c r="S32" s="730" t="s">
        <v>666</v>
      </c>
      <c r="T32" s="729"/>
      <c r="U32" s="764"/>
      <c r="V32" s="729"/>
      <c r="W32" s="764" t="s">
        <v>921</v>
      </c>
      <c r="X32" s="764"/>
      <c r="Y32" s="764"/>
      <c r="Z32" s="732" t="s">
        <v>265</v>
      </c>
      <c r="AA32" s="732"/>
      <c r="AB32" s="743">
        <v>0</v>
      </c>
      <c r="AC32" s="740"/>
      <c r="AD32" s="758" t="s">
        <v>1689</v>
      </c>
    </row>
    <row r="33" spans="1:30">
      <c r="A33" s="694" t="s">
        <v>1271</v>
      </c>
      <c r="B33" s="695">
        <v>1593</v>
      </c>
      <c r="C33" s="695">
        <v>1</v>
      </c>
      <c r="D33" s="695"/>
      <c r="E33" s="695"/>
      <c r="F33" s="695">
        <v>24</v>
      </c>
      <c r="G33" s="696"/>
      <c r="H33" s="696"/>
      <c r="I33" s="698"/>
      <c r="J33" s="695"/>
      <c r="K33" s="714"/>
      <c r="L33" s="695"/>
      <c r="M33" s="696"/>
      <c r="N33" s="714"/>
      <c r="O33" s="714"/>
      <c r="P33" s="698"/>
      <c r="Q33" s="698"/>
      <c r="R33" s="695"/>
      <c r="S33" s="695" t="s">
        <v>1689</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row>
    <row r="34" spans="1:30">
      <c r="A34" s="676" t="s">
        <v>1308</v>
      </c>
      <c r="B34" s="677">
        <v>2649</v>
      </c>
      <c r="C34" s="677">
        <v>1</v>
      </c>
      <c r="D34" s="677"/>
      <c r="E34" s="677"/>
      <c r="F34" s="677"/>
      <c r="G34" s="678"/>
      <c r="H34" s="678"/>
      <c r="I34" s="681"/>
      <c r="J34" s="677"/>
      <c r="K34" s="716"/>
      <c r="L34" s="677">
        <v>12</v>
      </c>
      <c r="M34" s="681"/>
      <c r="N34" s="716"/>
      <c r="O34" s="716"/>
      <c r="P34" s="681"/>
      <c r="Q34" s="681"/>
      <c r="R34" s="677"/>
      <c r="S34" s="677" t="s">
        <v>1689</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2162</v>
      </c>
      <c r="B35" s="677">
        <v>2648</v>
      </c>
      <c r="C35" s="677">
        <v>1</v>
      </c>
      <c r="D35" s="677"/>
      <c r="E35" s="677"/>
      <c r="F35" s="677"/>
      <c r="G35" s="678"/>
      <c r="H35" s="678"/>
      <c r="I35" s="681"/>
      <c r="J35" s="677"/>
      <c r="K35" s="716"/>
      <c r="L35" s="677"/>
      <c r="M35" s="681"/>
      <c r="N35" s="716"/>
      <c r="O35" s="716">
        <v>12</v>
      </c>
      <c r="P35" s="681"/>
      <c r="Q35" s="681"/>
      <c r="R35" s="677"/>
      <c r="S35" s="677" t="s">
        <v>1689</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2956</v>
      </c>
      <c r="B36" s="677">
        <v>1891</v>
      </c>
      <c r="C36" s="677">
        <v>1</v>
      </c>
      <c r="D36" s="677">
        <v>4</v>
      </c>
      <c r="E36" s="677">
        <v>4</v>
      </c>
      <c r="F36" s="677"/>
      <c r="G36" s="678"/>
      <c r="H36" s="678"/>
      <c r="I36" s="681"/>
      <c r="J36" s="677"/>
      <c r="K36" s="716"/>
      <c r="L36" s="677">
        <v>4</v>
      </c>
      <c r="M36" s="678"/>
      <c r="N36" s="716"/>
      <c r="O36" s="716"/>
      <c r="P36" s="681"/>
      <c r="Q36" s="681"/>
      <c r="R36" s="677"/>
      <c r="S36" s="677" t="s">
        <v>1689</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2815</v>
      </c>
      <c r="B37" s="677">
        <v>1885</v>
      </c>
      <c r="C37" s="677">
        <v>1</v>
      </c>
      <c r="D37" s="677">
        <v>9</v>
      </c>
      <c r="E37" s="677"/>
      <c r="F37" s="677"/>
      <c r="G37" s="678"/>
      <c r="H37" s="678"/>
      <c r="I37" s="681"/>
      <c r="J37" s="677"/>
      <c r="K37" s="716"/>
      <c r="L37" s="677"/>
      <c r="M37" s="678"/>
      <c r="N37" s="716"/>
      <c r="O37" s="716"/>
      <c r="P37" s="681"/>
      <c r="Q37" s="681"/>
      <c r="R37" s="677"/>
      <c r="S37" s="677" t="s">
        <v>1689</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2207</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X40" sqref="X40:X4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2075</v>
      </c>
    </row>
    <row r="2" spans="1:25">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Bonescythe Gauntlets</v>
      </c>
    </row>
    <row r="3" spans="1:25">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1434</v>
      </c>
      <c r="B32" s="114">
        <v>33539</v>
      </c>
      <c r="C32" s="114">
        <v>3</v>
      </c>
      <c r="D32" s="114"/>
      <c r="E32" s="114">
        <v>30</v>
      </c>
      <c r="F32" s="114">
        <v>68</v>
      </c>
      <c r="G32" s="116"/>
      <c r="H32" s="116"/>
      <c r="I32" s="114">
        <v>25</v>
      </c>
      <c r="J32" s="114"/>
      <c r="K32" s="114"/>
      <c r="L32" s="114">
        <v>28</v>
      </c>
      <c r="M32" s="116"/>
      <c r="N32" s="116"/>
      <c r="O32" s="114"/>
      <c r="P32" s="114"/>
      <c r="Q32" s="114" t="s">
        <v>1033</v>
      </c>
      <c r="R32" s="47"/>
      <c r="S32" s="114" t="s">
        <v>691</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34" t="s">
        <v>1689</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1689</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1689</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1689</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2077</v>
      </c>
      <c r="B44" s="678">
        <v>2564</v>
      </c>
      <c r="C44" s="678">
        <v>1</v>
      </c>
      <c r="D44" s="677"/>
      <c r="E44" s="677">
        <v>15</v>
      </c>
      <c r="F44" s="677"/>
      <c r="G44" s="678"/>
      <c r="H44" s="678"/>
      <c r="I44" s="678"/>
      <c r="J44" s="681"/>
      <c r="K44" s="678"/>
      <c r="L44" s="677"/>
      <c r="M44" s="678"/>
      <c r="N44" s="678"/>
      <c r="O44" s="678"/>
      <c r="P44" s="716"/>
      <c r="Q44" s="716"/>
      <c r="R44" s="716"/>
      <c r="S44" s="695" t="s">
        <v>1689</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2207</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AD2" sqref="AD2"/>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2078</v>
      </c>
      <c r="Y1" s="47"/>
      <c r="Z1" s="47"/>
    </row>
    <row r="2" spans="1:26">
      <c r="A2" s="690"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3" t="str">
        <f>HYPERLINK("https://tbc.wowhead.com/item="&amp;B2,A2)</f>
        <v>Belt of Deep Shadow</v>
      </c>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2347</v>
      </c>
      <c r="B6" s="114">
        <v>32769</v>
      </c>
      <c r="C6" s="114">
        <v>1</v>
      </c>
      <c r="D6" s="114">
        <v>25</v>
      </c>
      <c r="E6" s="114">
        <v>17</v>
      </c>
      <c r="F6" s="114"/>
      <c r="G6" s="116"/>
      <c r="H6" s="116"/>
      <c r="I6" s="114"/>
      <c r="J6" s="114"/>
      <c r="K6" s="114"/>
      <c r="L6" s="114">
        <v>22</v>
      </c>
      <c r="M6" s="116"/>
      <c r="N6" s="116"/>
      <c r="O6" s="114"/>
      <c r="P6" s="114"/>
      <c r="Q6" s="114" t="s">
        <v>1037</v>
      </c>
      <c r="R6" s="114" t="s">
        <v>22</v>
      </c>
      <c r="S6" s="114" t="s">
        <v>673</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2348</v>
      </c>
      <c r="B9" s="114">
        <v>22482</v>
      </c>
      <c r="C9" s="114">
        <v>1</v>
      </c>
      <c r="D9" s="114">
        <v>23</v>
      </c>
      <c r="E9" s="114">
        <v>24</v>
      </c>
      <c r="F9" s="114"/>
      <c r="G9" s="116">
        <v>14</v>
      </c>
      <c r="H9" s="116"/>
      <c r="I9" s="114"/>
      <c r="J9" s="114"/>
      <c r="K9" s="114"/>
      <c r="L9" s="114">
        <v>20</v>
      </c>
      <c r="M9" s="116"/>
      <c r="N9" s="116"/>
      <c r="O9" s="114"/>
      <c r="P9" s="114" t="s">
        <v>2335</v>
      </c>
      <c r="Q9" s="114" t="s">
        <v>1033</v>
      </c>
      <c r="R9" s="114"/>
      <c r="S9" s="114" t="s">
        <v>668</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1408</v>
      </c>
      <c r="B36" s="114">
        <v>33583</v>
      </c>
      <c r="C36" s="114">
        <v>3</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topLeftCell="A6" workbookViewId="0">
      <selection activeCell="X40" sqref="X40:X48"/>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2080</v>
      </c>
    </row>
    <row r="2" spans="1:25">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Bonescythe Legplates</v>
      </c>
    </row>
    <row r="3" spans="1:25">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2355</v>
      </c>
      <c r="B8" s="116">
        <v>30535</v>
      </c>
      <c r="C8" s="116">
        <v>1</v>
      </c>
      <c r="D8" s="114">
        <v>33</v>
      </c>
      <c r="E8" s="114">
        <v>26</v>
      </c>
      <c r="F8" s="114"/>
      <c r="G8" s="116"/>
      <c r="H8" s="116"/>
      <c r="I8" s="116"/>
      <c r="J8" s="114"/>
      <c r="K8" s="116"/>
      <c r="L8" s="114">
        <v>24</v>
      </c>
      <c r="M8" s="116"/>
      <c r="N8" s="116"/>
      <c r="O8" s="116"/>
      <c r="P8" s="114"/>
      <c r="Q8" s="114" t="s">
        <v>2343</v>
      </c>
      <c r="R8" s="114" t="s">
        <v>1459</v>
      </c>
      <c r="S8" s="114" t="s">
        <v>691</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2821</v>
      </c>
      <c r="B16" s="116">
        <v>25821</v>
      </c>
      <c r="C16" s="116">
        <v>1</v>
      </c>
      <c r="D16" s="114"/>
      <c r="E16" s="114">
        <v>30</v>
      </c>
      <c r="F16" s="114">
        <v>62</v>
      </c>
      <c r="G16" s="116"/>
      <c r="H16" s="116"/>
      <c r="I16" s="116"/>
      <c r="J16" s="114"/>
      <c r="K16" s="116"/>
      <c r="L16" s="114">
        <v>45</v>
      </c>
      <c r="M16" s="116"/>
      <c r="N16" s="116"/>
      <c r="O16" s="116"/>
      <c r="P16" s="114"/>
      <c r="Q16" s="114" t="s">
        <v>1033</v>
      </c>
      <c r="R16" s="114"/>
      <c r="S16" s="114" t="s">
        <v>675</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1433</v>
      </c>
      <c r="B26" s="116">
        <v>33538</v>
      </c>
      <c r="C26" s="116">
        <v>3</v>
      </c>
      <c r="D26" s="114"/>
      <c r="E26" s="114">
        <v>45</v>
      </c>
      <c r="F26" s="114">
        <v>92</v>
      </c>
      <c r="G26" s="116"/>
      <c r="H26" s="116"/>
      <c r="I26" s="116">
        <v>30</v>
      </c>
      <c r="J26" s="114"/>
      <c r="K26" s="116"/>
      <c r="L26" s="114">
        <v>46</v>
      </c>
      <c r="M26" s="116"/>
      <c r="N26" s="116"/>
      <c r="O26" s="116"/>
      <c r="P26" s="114"/>
      <c r="Q26" s="114" t="s">
        <v>1033</v>
      </c>
      <c r="R26" s="114"/>
      <c r="S26" s="114" t="s">
        <v>691</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2207</v>
      </c>
      <c r="B37" s="695"/>
      <c r="C37" s="695"/>
      <c r="D37" s="695"/>
      <c r="E37" s="695"/>
      <c r="F37" s="695"/>
      <c r="G37" s="696"/>
      <c r="H37" s="696"/>
      <c r="I37" s="695"/>
      <c r="J37" s="695"/>
      <c r="K37" s="695"/>
      <c r="L37" s="695"/>
      <c r="M37" s="696"/>
      <c r="N37" s="696"/>
      <c r="O37" s="695"/>
      <c r="P37" s="695"/>
      <c r="Q37" s="695" t="s">
        <v>1033</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794</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58" t="s">
        <v>1689</v>
      </c>
    </row>
    <row r="41" spans="1:25">
      <c r="A41" s="694" t="s">
        <v>1341</v>
      </c>
      <c r="B41" s="696">
        <v>3011</v>
      </c>
      <c r="C41" s="696">
        <v>1</v>
      </c>
      <c r="D41" s="695"/>
      <c r="E41" s="695">
        <v>10</v>
      </c>
      <c r="F41" s="695"/>
      <c r="G41" s="696"/>
      <c r="H41" s="696"/>
      <c r="I41" s="696"/>
      <c r="J41" s="698"/>
      <c r="K41" s="696"/>
      <c r="L41" s="695">
        <v>30</v>
      </c>
      <c r="M41" s="696"/>
      <c r="N41" s="696"/>
      <c r="O41" s="696"/>
      <c r="P41" s="696"/>
      <c r="Q41" s="696"/>
      <c r="R41" s="696"/>
      <c r="S41" s="695" t="s">
        <v>1689</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c r="Y41" s="129"/>
    </row>
    <row r="42" spans="1:25">
      <c r="A42" s="676" t="s">
        <v>1414</v>
      </c>
      <c r="B42" s="678">
        <v>3010</v>
      </c>
      <c r="C42" s="678">
        <v>1</v>
      </c>
      <c r="D42" s="677"/>
      <c r="E42" s="677"/>
      <c r="F42" s="677">
        <v>40</v>
      </c>
      <c r="G42" s="678">
        <v>10</v>
      </c>
      <c r="H42" s="678"/>
      <c r="I42" s="678"/>
      <c r="J42" s="681"/>
      <c r="K42" s="678"/>
      <c r="L42" s="677"/>
      <c r="M42" s="678"/>
      <c r="N42" s="678"/>
      <c r="O42" s="678"/>
      <c r="P42" s="681"/>
      <c r="Q42" s="681"/>
      <c r="R42" s="681"/>
      <c r="S42" s="695" t="s">
        <v>1689</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795</v>
      </c>
      <c r="B43" s="678">
        <v>2585</v>
      </c>
      <c r="C43" s="678">
        <v>1</v>
      </c>
      <c r="D43" s="677"/>
      <c r="E43" s="677"/>
      <c r="F43" s="677">
        <v>28</v>
      </c>
      <c r="G43" s="678"/>
      <c r="H43" s="678"/>
      <c r="I43" s="678"/>
      <c r="J43" s="681"/>
      <c r="K43" s="678"/>
      <c r="L43" s="677"/>
      <c r="M43" s="678">
        <v>12</v>
      </c>
      <c r="N43" s="678"/>
      <c r="O43" s="678"/>
      <c r="P43" s="716"/>
      <c r="Q43" s="716"/>
      <c r="R43" s="716"/>
      <c r="S43" s="695" t="s">
        <v>1689</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1104</v>
      </c>
      <c r="B44" s="678">
        <v>2543</v>
      </c>
      <c r="C44" s="678">
        <v>1</v>
      </c>
      <c r="D44" s="677"/>
      <c r="E44" s="677"/>
      <c r="F44" s="677"/>
      <c r="G44" s="678"/>
      <c r="H44" s="678"/>
      <c r="I44" s="678">
        <v>10</v>
      </c>
      <c r="J44" s="681"/>
      <c r="K44" s="678"/>
      <c r="L44" s="677"/>
      <c r="M44" s="678"/>
      <c r="N44" s="678"/>
      <c r="O44" s="678"/>
      <c r="P44" s="681"/>
      <c r="Q44" s="681"/>
      <c r="R44" s="681"/>
      <c r="S44" s="695" t="s">
        <v>1689</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1105</v>
      </c>
      <c r="B45" s="677">
        <v>1508</v>
      </c>
      <c r="C45" s="677">
        <v>1</v>
      </c>
      <c r="D45" s="677"/>
      <c r="E45" s="677">
        <v>8</v>
      </c>
      <c r="F45" s="677"/>
      <c r="G45" s="678"/>
      <c r="H45" s="678"/>
      <c r="I45" s="678"/>
      <c r="J45" s="678"/>
      <c r="K45" s="678"/>
      <c r="L45" s="677"/>
      <c r="M45" s="678"/>
      <c r="N45" s="678"/>
      <c r="O45" s="678"/>
      <c r="P45" s="678"/>
      <c r="Q45" s="678"/>
      <c r="R45" s="678"/>
      <c r="S45" s="695" t="s">
        <v>1689</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1919</v>
      </c>
      <c r="B46" s="678">
        <v>3013</v>
      </c>
      <c r="C46" s="678">
        <v>1</v>
      </c>
      <c r="D46" s="677"/>
      <c r="E46" s="677">
        <v>12</v>
      </c>
      <c r="F46" s="677"/>
      <c r="G46" s="678"/>
      <c r="H46" s="678"/>
      <c r="I46" s="678"/>
      <c r="J46" s="681"/>
      <c r="K46" s="678"/>
      <c r="L46" s="677">
        <v>40</v>
      </c>
      <c r="M46" s="678"/>
      <c r="N46" s="678"/>
      <c r="O46" s="678"/>
      <c r="P46" s="774"/>
      <c r="Q46" s="774"/>
      <c r="R46" s="774"/>
      <c r="S46" s="695" t="s">
        <v>1689</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1342</v>
      </c>
      <c r="B47" s="678">
        <v>3012</v>
      </c>
      <c r="C47" s="678">
        <v>1</v>
      </c>
      <c r="D47" s="677"/>
      <c r="E47" s="677"/>
      <c r="F47" s="677">
        <v>50</v>
      </c>
      <c r="G47" s="678">
        <v>12</v>
      </c>
      <c r="H47" s="678"/>
      <c r="I47" s="678"/>
      <c r="J47" s="681"/>
      <c r="K47" s="678"/>
      <c r="L47" s="677"/>
      <c r="M47" s="678"/>
      <c r="N47" s="678"/>
      <c r="O47" s="678"/>
      <c r="P47" s="684"/>
      <c r="Q47" s="684"/>
      <c r="R47" s="684"/>
      <c r="S47" s="695" t="s">
        <v>1689</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2207</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X36" sqref="X36:X44"/>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2078</v>
      </c>
    </row>
    <row r="2" spans="1:25">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2" t="str">
        <f>HYPERLINK("https://tbc.wowhead.com/item="&amp;B2,A2)</f>
        <v>Black Featherlight Boots</v>
      </c>
    </row>
    <row r="3" spans="1:25">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695</v>
      </c>
      <c r="B7" s="116">
        <v>30039</v>
      </c>
      <c r="C7" s="116">
        <v>2</v>
      </c>
      <c r="D7" s="114"/>
      <c r="E7" s="114"/>
      <c r="F7" s="114">
        <v>66</v>
      </c>
      <c r="G7" s="116">
        <v>32</v>
      </c>
      <c r="H7" s="116">
        <v>23</v>
      </c>
      <c r="I7" s="116"/>
      <c r="J7" s="114"/>
      <c r="K7" s="116"/>
      <c r="L7" s="114">
        <v>34</v>
      </c>
      <c r="M7" s="116"/>
      <c r="N7" s="116"/>
      <c r="O7" s="116"/>
      <c r="P7" s="114"/>
      <c r="Q7" s="114" t="s">
        <v>1033</v>
      </c>
      <c r="R7" s="114"/>
      <c r="S7" s="114" t="s">
        <v>687</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2359</v>
      </c>
      <c r="B12" s="116">
        <v>33582</v>
      </c>
      <c r="C12" s="116">
        <v>3</v>
      </c>
      <c r="D12" s="114">
        <v>29</v>
      </c>
      <c r="E12" s="114">
        <v>29</v>
      </c>
      <c r="F12" s="114"/>
      <c r="G12" s="116"/>
      <c r="H12" s="116"/>
      <c r="I12" s="116"/>
      <c r="J12" s="114"/>
      <c r="K12" s="116"/>
      <c r="L12" s="114">
        <v>28</v>
      </c>
      <c r="M12" s="116"/>
      <c r="N12" s="116"/>
      <c r="O12" s="116"/>
      <c r="P12" s="114"/>
      <c r="Q12" s="114" t="s">
        <v>1045</v>
      </c>
      <c r="R12" s="114" t="s">
        <v>1338</v>
      </c>
      <c r="S12" s="114" t="s">
        <v>691</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718</v>
      </c>
      <c r="B36" s="729" t="s">
        <v>1934</v>
      </c>
      <c r="C36" s="729" t="s">
        <v>2798</v>
      </c>
      <c r="D36" s="730" t="s">
        <v>1214</v>
      </c>
      <c r="E36" s="730" t="s">
        <v>1215</v>
      </c>
      <c r="F36" s="730" t="s">
        <v>768</v>
      </c>
      <c r="G36" s="729" t="s">
        <v>2140</v>
      </c>
      <c r="H36" s="729" t="s">
        <v>2139</v>
      </c>
      <c r="I36" s="729" t="s">
        <v>771</v>
      </c>
      <c r="J36" s="731" t="s">
        <v>770</v>
      </c>
      <c r="K36" s="729" t="s">
        <v>760</v>
      </c>
      <c r="L36" s="730" t="s">
        <v>1216</v>
      </c>
      <c r="M36" s="729" t="s">
        <v>264</v>
      </c>
      <c r="N36" s="729" t="s">
        <v>1217</v>
      </c>
      <c r="O36" s="729" t="s">
        <v>1287</v>
      </c>
      <c r="P36" s="729" t="s">
        <v>1046</v>
      </c>
      <c r="Q36" s="730" t="s">
        <v>1047</v>
      </c>
      <c r="R36" s="730" t="s">
        <v>1941</v>
      </c>
      <c r="S36" s="730" t="s">
        <v>666</v>
      </c>
      <c r="T36" s="729" t="s">
        <v>921</v>
      </c>
      <c r="U36" s="732" t="s">
        <v>265</v>
      </c>
      <c r="V36" s="743">
        <v>0</v>
      </c>
      <c r="W36" s="740"/>
      <c r="X36" s="734" t="s">
        <v>1689</v>
      </c>
    </row>
    <row r="37" spans="1:24">
      <c r="A37" s="694" t="s">
        <v>721</v>
      </c>
      <c r="B37" s="698">
        <v>2940</v>
      </c>
      <c r="C37" s="695">
        <v>1</v>
      </c>
      <c r="D37" s="695"/>
      <c r="E37" s="695"/>
      <c r="F37" s="695"/>
      <c r="G37" s="696"/>
      <c r="H37" s="696"/>
      <c r="I37" s="698"/>
      <c r="J37" s="695"/>
      <c r="K37" s="714"/>
      <c r="L37" s="695">
        <v>9</v>
      </c>
      <c r="M37" s="696"/>
      <c r="N37" s="714"/>
      <c r="O37" s="714"/>
      <c r="P37" s="698"/>
      <c r="Q37" s="698"/>
      <c r="R37" s="695"/>
      <c r="S37" s="695" t="s">
        <v>1689</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row>
    <row r="38" spans="1:24">
      <c r="A38" s="682" t="s">
        <v>720</v>
      </c>
      <c r="B38" s="681">
        <v>2939</v>
      </c>
      <c r="C38" s="677">
        <v>5</v>
      </c>
      <c r="D38" s="677"/>
      <c r="E38" s="677">
        <v>6</v>
      </c>
      <c r="F38" s="677"/>
      <c r="G38" s="678"/>
      <c r="H38" s="678"/>
      <c r="I38" s="681"/>
      <c r="J38" s="677"/>
      <c r="K38" s="716"/>
      <c r="L38" s="677"/>
      <c r="M38" s="678"/>
      <c r="N38" s="716"/>
      <c r="O38" s="716"/>
      <c r="P38" s="681"/>
      <c r="Q38" s="681"/>
      <c r="R38" s="681"/>
      <c r="S38" s="695" t="s">
        <v>1689</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1689</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1308</v>
      </c>
      <c r="B40" s="681">
        <v>2649</v>
      </c>
      <c r="C40" s="677">
        <v>1</v>
      </c>
      <c r="D40" s="677"/>
      <c r="E40" s="677"/>
      <c r="F40" s="677"/>
      <c r="G40" s="678"/>
      <c r="H40" s="678"/>
      <c r="I40" s="681"/>
      <c r="J40" s="677"/>
      <c r="K40" s="716"/>
      <c r="L40" s="677">
        <v>12</v>
      </c>
      <c r="M40" s="678"/>
      <c r="N40" s="716"/>
      <c r="O40" s="716"/>
      <c r="P40" s="681"/>
      <c r="Q40" s="681"/>
      <c r="R40" s="681"/>
      <c r="S40" s="695" t="s">
        <v>1689</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1689</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719</v>
      </c>
      <c r="B42" s="681">
        <v>911</v>
      </c>
      <c r="C42" s="677">
        <v>1</v>
      </c>
      <c r="D42" s="677"/>
      <c r="E42" s="677"/>
      <c r="F42" s="677"/>
      <c r="G42" s="678"/>
      <c r="H42" s="678"/>
      <c r="I42" s="681"/>
      <c r="J42" s="677"/>
      <c r="K42" s="716"/>
      <c r="L42" s="677"/>
      <c r="M42" s="678"/>
      <c r="N42" s="716"/>
      <c r="O42" s="716"/>
      <c r="P42" s="681"/>
      <c r="Q42" s="681"/>
      <c r="R42" s="681"/>
      <c r="S42" s="695" t="s">
        <v>1689</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722</v>
      </c>
      <c r="B43" s="681">
        <v>2658</v>
      </c>
      <c r="C43" s="677">
        <v>1</v>
      </c>
      <c r="D43" s="677"/>
      <c r="E43" s="677"/>
      <c r="F43" s="677"/>
      <c r="G43" s="678"/>
      <c r="H43" s="678">
        <v>10</v>
      </c>
      <c r="I43" s="681"/>
      <c r="J43" s="677"/>
      <c r="K43" s="716"/>
      <c r="L43" s="677"/>
      <c r="M43" s="678"/>
      <c r="N43" s="716"/>
      <c r="O43" s="716"/>
      <c r="P43" s="681"/>
      <c r="Q43" s="681"/>
      <c r="R43" s="677"/>
      <c r="S43" s="695" t="s">
        <v>1689</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2207</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40" workbookViewId="0">
      <selection activeCell="Y60" sqref="Y60:Y63"/>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714</v>
      </c>
      <c r="V1" s="732" t="s">
        <v>1029</v>
      </c>
      <c r="W1" s="743">
        <v>0</v>
      </c>
      <c r="X1" s="743"/>
      <c r="Y1" s="752"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1689</v>
      </c>
      <c r="Z2" s="1393" t="str">
        <f>HYPERLINK("https://tbc.wowhead.com/item="&amp;B2,A2)</f>
        <v>A'dal's Command</v>
      </c>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1921</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676</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2831</v>
      </c>
      <c r="B20" s="114">
        <v>32081</v>
      </c>
      <c r="C20" s="114">
        <v>1</v>
      </c>
      <c r="D20" s="114"/>
      <c r="E20" s="114"/>
      <c r="F20" s="114">
        <v>60</v>
      </c>
      <c r="G20" s="116"/>
      <c r="H20" s="116"/>
      <c r="I20" s="114"/>
      <c r="J20" s="114"/>
      <c r="K20" s="114"/>
      <c r="L20" s="114">
        <v>31</v>
      </c>
      <c r="M20" s="116"/>
      <c r="N20" s="116"/>
      <c r="O20" s="114"/>
      <c r="P20" s="114"/>
      <c r="Q20" s="114"/>
      <c r="R20" s="114"/>
      <c r="S20" s="114" t="s">
        <v>691</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495</v>
      </c>
      <c r="B33" s="116">
        <v>29379</v>
      </c>
      <c r="C33" s="116">
        <v>1</v>
      </c>
      <c r="D33" s="114"/>
      <c r="E33" s="114"/>
      <c r="F33" s="114">
        <v>46</v>
      </c>
      <c r="G33" s="116">
        <v>23</v>
      </c>
      <c r="H33" s="116"/>
      <c r="I33" s="116"/>
      <c r="J33" s="114"/>
      <c r="K33" s="116"/>
      <c r="L33" s="114">
        <v>24</v>
      </c>
      <c r="M33" s="116"/>
      <c r="N33" s="116"/>
      <c r="O33" s="116"/>
      <c r="P33" s="114"/>
      <c r="Q33" s="114"/>
      <c r="R33" s="114"/>
      <c r="S33" s="114" t="s">
        <v>691</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679</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1699</v>
      </c>
      <c r="B41" s="116">
        <v>31920</v>
      </c>
      <c r="C41" s="116">
        <v>1</v>
      </c>
      <c r="D41" s="114"/>
      <c r="E41" s="114"/>
      <c r="F41" s="114">
        <v>40</v>
      </c>
      <c r="G41" s="116">
        <v>20</v>
      </c>
      <c r="H41" s="116">
        <v>19</v>
      </c>
      <c r="I41" s="116"/>
      <c r="J41" s="114"/>
      <c r="K41" s="116"/>
      <c r="L41" s="114"/>
      <c r="M41" s="116"/>
      <c r="N41" s="116"/>
      <c r="O41" s="116"/>
      <c r="P41" s="114"/>
      <c r="Q41" s="114"/>
      <c r="R41" s="114"/>
      <c r="S41" s="114" t="s">
        <v>691</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2384</v>
      </c>
      <c r="B48" s="116">
        <v>31326</v>
      </c>
      <c r="C48" s="116">
        <v>1</v>
      </c>
      <c r="D48" s="114"/>
      <c r="E48" s="114">
        <v>21</v>
      </c>
      <c r="F48" s="114">
        <v>40</v>
      </c>
      <c r="G48" s="116"/>
      <c r="H48" s="116"/>
      <c r="I48" s="116"/>
      <c r="J48" s="114"/>
      <c r="K48" s="116"/>
      <c r="L48" s="114"/>
      <c r="M48" s="116"/>
      <c r="N48" s="116"/>
      <c r="O48" s="116"/>
      <c r="P48" s="114"/>
      <c r="Q48" s="114"/>
      <c r="R48" s="114"/>
      <c r="S48" s="114" t="s">
        <v>674</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677</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1704</v>
      </c>
      <c r="B60" s="729" t="s">
        <v>1934</v>
      </c>
      <c r="C60" s="729" t="s">
        <v>2798</v>
      </c>
      <c r="D60" s="730" t="s">
        <v>1214</v>
      </c>
      <c r="E60" s="730" t="s">
        <v>1215</v>
      </c>
      <c r="F60" s="730" t="s">
        <v>768</v>
      </c>
      <c r="G60" s="729" t="s">
        <v>2140</v>
      </c>
      <c r="H60" s="729" t="s">
        <v>2139</v>
      </c>
      <c r="I60" s="729" t="s">
        <v>771</v>
      </c>
      <c r="J60" s="731" t="s">
        <v>770</v>
      </c>
      <c r="K60" s="729" t="s">
        <v>760</v>
      </c>
      <c r="L60" s="730" t="s">
        <v>1216</v>
      </c>
      <c r="M60" s="729" t="s">
        <v>264</v>
      </c>
      <c r="N60" s="729" t="s">
        <v>1217</v>
      </c>
      <c r="O60" s="729" t="s">
        <v>1287</v>
      </c>
      <c r="P60" s="729" t="s">
        <v>1046</v>
      </c>
      <c r="Q60" s="730" t="s">
        <v>1047</v>
      </c>
      <c r="R60" s="730" t="s">
        <v>1941</v>
      </c>
      <c r="S60" s="730" t="s">
        <v>666</v>
      </c>
      <c r="T60" s="729" t="s">
        <v>921</v>
      </c>
      <c r="U60" s="730" t="s">
        <v>1222</v>
      </c>
      <c r="V60" s="753" t="s">
        <v>1705</v>
      </c>
      <c r="W60" s="743">
        <v>0</v>
      </c>
      <c r="X60" s="740"/>
      <c r="Y60" s="741" t="s">
        <v>1689</v>
      </c>
    </row>
    <row r="61" spans="1:29">
      <c r="A61" s="735" t="s">
        <v>1706</v>
      </c>
      <c r="B61" s="696">
        <v>2931</v>
      </c>
      <c r="C61" s="696">
        <v>3</v>
      </c>
      <c r="D61" s="695">
        <v>4</v>
      </c>
      <c r="E61" s="695">
        <v>4</v>
      </c>
      <c r="F61" s="695"/>
      <c r="G61" s="696"/>
      <c r="H61" s="696"/>
      <c r="I61" s="696"/>
      <c r="J61" s="696"/>
      <c r="K61" s="696"/>
      <c r="L61" s="695">
        <v>4</v>
      </c>
      <c r="M61" s="696"/>
      <c r="N61" s="696"/>
      <c r="O61" s="696"/>
      <c r="P61" s="696"/>
      <c r="Q61" s="696"/>
      <c r="R61" s="696"/>
      <c r="S61" s="696" t="s">
        <v>806</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row>
    <row r="62" spans="1:29">
      <c r="A62" s="676" t="s">
        <v>1564</v>
      </c>
      <c r="B62" s="678">
        <v>2929</v>
      </c>
      <c r="C62" s="678">
        <v>1</v>
      </c>
      <c r="D62" s="677"/>
      <c r="E62" s="677"/>
      <c r="F62" s="677"/>
      <c r="G62" s="678"/>
      <c r="H62" s="678"/>
      <c r="I62" s="678"/>
      <c r="J62" s="678"/>
      <c r="K62" s="678"/>
      <c r="L62" s="677"/>
      <c r="M62" s="678"/>
      <c r="N62" s="678"/>
      <c r="O62" s="678"/>
      <c r="P62" s="678"/>
      <c r="Q62" s="678"/>
      <c r="R62" s="678"/>
      <c r="S62" s="678" t="s">
        <v>806</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2207</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topLeftCell="A13" workbookViewId="0">
      <selection activeCell="AD2" sqref="AD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1221</v>
      </c>
      <c r="Q1" s="703" t="s">
        <v>1047</v>
      </c>
      <c r="R1" s="703" t="s">
        <v>1941</v>
      </c>
      <c r="S1" s="703" t="s">
        <v>666</v>
      </c>
      <c r="T1" s="848" t="s">
        <v>1707</v>
      </c>
      <c r="U1" s="699" t="s">
        <v>1708</v>
      </c>
      <c r="V1" s="704"/>
      <c r="W1" s="703" t="s">
        <v>710</v>
      </c>
      <c r="X1" s="703" t="s">
        <v>711</v>
      </c>
      <c r="Y1" s="703" t="s">
        <v>712</v>
      </c>
      <c r="Z1" s="742">
        <v>0</v>
      </c>
      <c r="AA1" s="742"/>
      <c r="AB1" s="699" t="s">
        <v>671</v>
      </c>
    </row>
    <row r="2" spans="1:36"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1689</v>
      </c>
      <c r="AC2" s="1392" t="str">
        <f>HYPERLINK("https://tbc.wowhead.com/item="&amp;B2,A2)</f>
        <v>Abacus of Violent Odds</v>
      </c>
    </row>
    <row r="3" spans="1:36"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2850</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2851</v>
      </c>
      <c r="AG5" s="853">
        <f>Optimize!C54</f>
        <v>0.333563410569305</v>
      </c>
      <c r="AH5" s="853">
        <f>IF(AI5*AG5&gt;0, AI5*AG5, 1)</f>
        <v>22.907733167137973</v>
      </c>
      <c r="AI5" s="853">
        <f>Optimize!C55</f>
        <v>68.675797288559011</v>
      </c>
      <c r="AJ5" s="851"/>
    </row>
    <row r="6" spans="1:36" ht="12" customHeight="1">
      <c r="A6" s="130" t="s">
        <v>2834</v>
      </c>
      <c r="B6" s="116">
        <v>32658</v>
      </c>
      <c r="C6" s="116">
        <v>1</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2852</v>
      </c>
      <c r="AG6" s="851" t="s">
        <v>2853</v>
      </c>
      <c r="AH6" s="851" t="s">
        <v>2854</v>
      </c>
      <c r="AI6" s="851" t="s">
        <v>2855</v>
      </c>
      <c r="AJ6" s="851" t="s">
        <v>2856</v>
      </c>
    </row>
    <row r="7" spans="1:36" ht="12" customHeight="1">
      <c r="A7" s="10" t="s">
        <v>2848</v>
      </c>
      <c r="B7" s="116">
        <v>21670</v>
      </c>
      <c r="C7" s="116">
        <v>1</v>
      </c>
      <c r="D7" s="114"/>
      <c r="E7" s="114"/>
      <c r="F7" s="115"/>
      <c r="G7" s="116"/>
      <c r="H7" s="116"/>
      <c r="I7" s="115"/>
      <c r="J7" s="114">
        <f>IF(time=0, MIN(AG16*200, AF17)/180*30, 0)</f>
        <v>0</v>
      </c>
      <c r="K7" s="116"/>
      <c r="L7" s="114"/>
      <c r="M7" s="116"/>
      <c r="N7" s="114"/>
      <c r="O7" s="116"/>
      <c r="P7" s="114"/>
      <c r="Q7" s="114"/>
      <c r="R7" s="114"/>
      <c r="S7" s="114" t="s">
        <v>668</v>
      </c>
      <c r="T7" s="10" t="s">
        <v>2849</v>
      </c>
      <c r="U7" s="114" t="s">
        <v>1719</v>
      </c>
      <c r="V7" s="116" t="s">
        <v>1109</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2857</v>
      </c>
      <c r="AF7" s="854">
        <f>30/BotSprocs</f>
        <v>1.3096014250347632</v>
      </c>
      <c r="AG7" s="854">
        <v>1</v>
      </c>
      <c r="AH7" s="854">
        <v>0</v>
      </c>
      <c r="AI7" s="854">
        <v>0</v>
      </c>
      <c r="AJ7" s="851">
        <v>0</v>
      </c>
    </row>
    <row r="8" spans="1:36"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1274</v>
      </c>
      <c r="AF8" s="854">
        <f>30/(1+BotSprocs/(1-EXP(-BotSprocs)))</f>
        <v>1.2548241101335842</v>
      </c>
      <c r="AG8" s="854">
        <f>(1-EXP(-$AI$5*BotSrate))</f>
        <v>0.99999999988746235</v>
      </c>
      <c r="AH8" s="854">
        <v>30</v>
      </c>
      <c r="AI8" s="854">
        <f>AG7-AG8</f>
        <v>1.1253764586882653E-10</v>
      </c>
      <c r="AJ8" s="851">
        <v>1</v>
      </c>
    </row>
    <row r="9" spans="1:36" ht="12" customHeight="1">
      <c r="A9" s="10" t="s">
        <v>990</v>
      </c>
      <c r="B9" s="116">
        <v>34427</v>
      </c>
      <c r="C9" s="116">
        <v>5</v>
      </c>
      <c r="D9" s="114"/>
      <c r="E9" s="114"/>
      <c r="F9" s="115">
        <f>Optimize!C28*Optimize!C29</f>
        <v>161.80427385670831</v>
      </c>
      <c r="G9" s="116"/>
      <c r="H9" s="116"/>
      <c r="I9" s="115">
        <v>54</v>
      </c>
      <c r="J9" s="114"/>
      <c r="K9" s="116"/>
      <c r="L9" s="114"/>
      <c r="M9" s="116"/>
      <c r="N9" s="114"/>
      <c r="O9" s="116"/>
      <c r="P9" s="114"/>
      <c r="Q9" s="114"/>
      <c r="R9" s="114"/>
      <c r="S9" s="114" t="s">
        <v>871</v>
      </c>
      <c r="T9" s="10"/>
      <c r="U9" s="114"/>
      <c r="V9" s="116" t="s">
        <v>1109</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1277</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1280</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1282</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1284</v>
      </c>
      <c r="AF12" s="854">
        <f>30/(1+BotSprocs/(1-EXP(-BotSprocs)))</f>
        <v>1.2548241101335842</v>
      </c>
      <c r="AG12" s="854">
        <f>(1-EXP(-$AI$5*BotSrate))^5</f>
        <v>0.99999999943731177</v>
      </c>
      <c r="AH12" s="854">
        <v>30</v>
      </c>
      <c r="AI12" s="854">
        <f>AG11-AG12</f>
        <v>1.1253764586882653E-10</v>
      </c>
      <c r="AJ12" s="851">
        <v>5</v>
      </c>
    </row>
    <row r="13" spans="1:36"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2858</v>
      </c>
      <c r="AF13" s="854">
        <f>MIN(AF12/EXP(-AI5*BotSrate),IF(time=0,30,MIN(30,time))-SUMPRODUCT(AF7:AF12,AG7:AG12))</f>
        <v>22.41627802641554</v>
      </c>
      <c r="AG13" s="854">
        <f>(1-EXP(-$AI$5*BotSrate))^6</f>
        <v>0.99999999932477412</v>
      </c>
      <c r="AH13" s="854">
        <v>0</v>
      </c>
      <c r="AI13" s="854">
        <v>0</v>
      </c>
      <c r="AJ13" s="851">
        <v>6</v>
      </c>
    </row>
    <row r="14" spans="1:36" ht="12" customHeight="1">
      <c r="A14" s="126" t="s">
        <v>1657</v>
      </c>
      <c r="B14" s="116">
        <v>31856</v>
      </c>
      <c r="C14" s="116">
        <v>2</v>
      </c>
      <c r="D14" s="114"/>
      <c r="E14" s="114"/>
      <c r="F14" s="115">
        <f>itDMCCap</f>
        <v>118.4416357640376</v>
      </c>
      <c r="G14" s="116"/>
      <c r="H14" s="116"/>
      <c r="I14" s="115"/>
      <c r="J14" s="114"/>
      <c r="K14" s="116"/>
      <c r="L14" s="114"/>
      <c r="M14" s="116"/>
      <c r="N14" s="114"/>
      <c r="O14" s="116"/>
      <c r="P14" s="114"/>
      <c r="Q14" s="114"/>
      <c r="R14" s="114"/>
      <c r="S14" s="114" t="s">
        <v>675</v>
      </c>
      <c r="T14" s="10" t="s">
        <v>1295</v>
      </c>
      <c r="U14" s="114"/>
      <c r="V14" s="116" t="s">
        <v>1109</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1658</v>
      </c>
      <c r="B15" s="116">
        <v>31857</v>
      </c>
      <c r="C15" s="116">
        <v>2</v>
      </c>
      <c r="D15" s="114"/>
      <c r="E15" s="114"/>
      <c r="F15" s="115"/>
      <c r="G15" s="116"/>
      <c r="H15" s="116"/>
      <c r="I15" s="115"/>
      <c r="J15" s="114"/>
      <c r="K15" s="116"/>
      <c r="L15" s="114"/>
      <c r="M15" s="116"/>
      <c r="N15" s="114"/>
      <c r="O15" s="116"/>
      <c r="P15" s="114"/>
      <c r="Q15" s="114"/>
      <c r="R15" s="114"/>
      <c r="S15" s="114" t="s">
        <v>675</v>
      </c>
      <c r="T15" s="10" t="s">
        <v>709</v>
      </c>
      <c r="U15" s="114"/>
      <c r="V15" s="116" t="s">
        <v>1109</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1938</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678</v>
      </c>
      <c r="T16" s="10" t="s">
        <v>272</v>
      </c>
      <c r="U16" s="114"/>
      <c r="V16" s="116" t="s">
        <v>1109</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2859</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7" t="s">
        <v>1345</v>
      </c>
      <c r="U18" s="114" t="s">
        <v>1346</v>
      </c>
      <c r="V18" s="116" t="s">
        <v>1109</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1658</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1720</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673</v>
      </c>
      <c r="T22" s="10" t="s">
        <v>784</v>
      </c>
      <c r="U22" s="114"/>
      <c r="V22" s="116" t="s">
        <v>1109</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916</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683</v>
      </c>
      <c r="T26" s="10" t="s">
        <v>137</v>
      </c>
      <c r="U26" s="114"/>
      <c r="V26" s="116" t="s">
        <v>1109</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917</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918</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991</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691</v>
      </c>
      <c r="T31" s="10"/>
      <c r="U31" s="114"/>
      <c r="V31" s="116" t="s">
        <v>1109</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990</v>
      </c>
      <c r="AG32" s="6"/>
    </row>
    <row r="33" spans="1:53"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667</v>
      </c>
      <c r="T35" s="10" t="s">
        <v>143</v>
      </c>
      <c r="U35" s="114"/>
      <c r="V35" s="116" t="s">
        <v>1109</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1940</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680</v>
      </c>
      <c r="T37" s="10" t="s">
        <v>743</v>
      </c>
      <c r="U37" s="114"/>
      <c r="V37" s="116" t="s">
        <v>1109</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1109</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1109</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3125</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3126</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1657</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1895</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3" zoomScaleNormal="100" workbookViewId="0">
      <selection activeCell="AD2" sqref="AD2"/>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1934</v>
      </c>
      <c r="C1" s="703" t="s">
        <v>2798</v>
      </c>
      <c r="D1" s="778" t="s">
        <v>1214</v>
      </c>
      <c r="E1" s="778" t="s">
        <v>1215</v>
      </c>
      <c r="F1" s="778" t="s">
        <v>768</v>
      </c>
      <c r="G1" s="778" t="s">
        <v>2140</v>
      </c>
      <c r="H1" s="778" t="s">
        <v>2139</v>
      </c>
      <c r="I1" s="778" t="s">
        <v>771</v>
      </c>
      <c r="J1" s="778" t="s">
        <v>1219</v>
      </c>
      <c r="K1" s="778" t="s">
        <v>760</v>
      </c>
      <c r="L1" s="778" t="s">
        <v>1216</v>
      </c>
      <c r="M1" s="778" t="s">
        <v>264</v>
      </c>
      <c r="N1" s="778" t="s">
        <v>1217</v>
      </c>
      <c r="O1" s="778" t="s">
        <v>1287</v>
      </c>
      <c r="P1" s="778"/>
      <c r="Q1" s="778" t="s">
        <v>1032</v>
      </c>
      <c r="R1" s="778" t="s">
        <v>1941</v>
      </c>
      <c r="S1" s="778" t="s">
        <v>666</v>
      </c>
      <c r="T1" s="778" t="s">
        <v>265</v>
      </c>
      <c r="U1" s="778"/>
      <c r="V1" s="703">
        <v>0</v>
      </c>
      <c r="W1" s="703"/>
      <c r="X1" s="778" t="s">
        <v>2208</v>
      </c>
    </row>
    <row r="2" spans="1:25">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Adamantine Repeater</v>
      </c>
    </row>
    <row r="3" spans="1:25">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P1" workbookViewId="0">
      <pane ySplit="1" topLeftCell="A266" activePane="bottomLeft" state="frozen"/>
      <selection pane="bottomLeft" activeCell="AH307" sqref="AH30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1934</v>
      </c>
      <c r="C1" s="819" t="s">
        <v>2798</v>
      </c>
      <c r="D1" s="819" t="s">
        <v>1214</v>
      </c>
      <c r="E1" s="819" t="s">
        <v>1215</v>
      </c>
      <c r="F1" s="819" t="s">
        <v>768</v>
      </c>
      <c r="G1" s="820" t="s">
        <v>2140</v>
      </c>
      <c r="H1" s="820" t="s">
        <v>2139</v>
      </c>
      <c r="I1" s="821" t="s">
        <v>771</v>
      </c>
      <c r="J1" s="822" t="s">
        <v>1739</v>
      </c>
      <c r="K1" s="820" t="s">
        <v>760</v>
      </c>
      <c r="L1" s="819" t="s">
        <v>1216</v>
      </c>
      <c r="M1" s="820" t="s">
        <v>264</v>
      </c>
      <c r="N1" s="820" t="s">
        <v>1217</v>
      </c>
      <c r="O1" s="820" t="s">
        <v>1287</v>
      </c>
      <c r="P1" s="819" t="s">
        <v>1221</v>
      </c>
      <c r="Q1" s="823" t="s">
        <v>1032</v>
      </c>
      <c r="R1" s="823" t="s">
        <v>1941</v>
      </c>
      <c r="S1" s="819" t="s">
        <v>666</v>
      </c>
      <c r="T1" s="824" t="s">
        <v>1222</v>
      </c>
      <c r="U1" s="820" t="s">
        <v>1223</v>
      </c>
      <c r="V1" s="824" t="s">
        <v>1705</v>
      </c>
      <c r="W1" s="824" t="s">
        <v>146</v>
      </c>
      <c r="X1" s="819" t="s">
        <v>1538</v>
      </c>
      <c r="Y1" s="819" t="s">
        <v>1225</v>
      </c>
      <c r="Z1" s="819" t="s">
        <v>564</v>
      </c>
      <c r="AA1" s="819" t="s">
        <v>565</v>
      </c>
      <c r="AB1" s="819" t="s">
        <v>566</v>
      </c>
      <c r="AC1" s="825" t="s">
        <v>567</v>
      </c>
      <c r="AD1" s="824"/>
      <c r="AE1" s="826">
        <v>0</v>
      </c>
      <c r="AF1" s="871">
        <v>0</v>
      </c>
      <c r="AG1" s="871"/>
    </row>
    <row r="2" spans="1:48" ht="12" thickBot="1">
      <c r="A2" s="827" t="s">
        <v>2057</v>
      </c>
      <c r="B2" s="828"/>
      <c r="C2" s="828"/>
      <c r="D2" s="743"/>
      <c r="E2" s="743"/>
      <c r="F2" s="743"/>
      <c r="G2" s="743"/>
      <c r="H2" s="743"/>
      <c r="I2" s="829"/>
      <c r="J2" s="743"/>
      <c r="K2" s="828"/>
      <c r="L2" s="743"/>
      <c r="M2" s="828"/>
      <c r="N2" s="743"/>
      <c r="O2" s="828"/>
      <c r="P2" s="743"/>
      <c r="Q2" s="743" t="s">
        <v>1033</v>
      </c>
      <c r="R2" s="743"/>
      <c r="S2" s="743"/>
      <c r="T2" s="830"/>
      <c r="U2" s="828"/>
      <c r="V2" s="830"/>
      <c r="W2" s="830"/>
      <c r="X2" s="743"/>
      <c r="Y2" s="743"/>
      <c r="Z2" s="743"/>
      <c r="AA2" s="743"/>
      <c r="AB2" s="743"/>
      <c r="AC2" s="831"/>
      <c r="AD2" s="830"/>
      <c r="AE2" s="743">
        <v>1</v>
      </c>
      <c r="AF2" s="114">
        <f>MAX(AF$1:AF1)+1</f>
        <v>1</v>
      </c>
      <c r="AG2" s="114"/>
      <c r="AH2" s="1390"/>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6"/>
      <c r="J6" s="114"/>
      <c r="K6" s="116"/>
      <c r="L6" s="114">
        <v>12</v>
      </c>
      <c r="M6" s="116"/>
      <c r="N6" s="114"/>
      <c r="O6" s="116"/>
      <c r="P6" s="114"/>
      <c r="Q6" s="114" t="s">
        <v>1033</v>
      </c>
      <c r="R6" s="114"/>
      <c r="S6" s="114" t="s">
        <v>676</v>
      </c>
      <c r="T6" s="114">
        <v>90</v>
      </c>
      <c r="U6" s="116">
        <v>168</v>
      </c>
      <c r="V6" s="155">
        <f t="shared" ref="V6:V54" si="1">(U6+T6)/2</f>
        <v>129</v>
      </c>
      <c r="W6" s="155">
        <v>1.8</v>
      </c>
      <c r="X6" s="124">
        <f t="shared" ref="X6:X54" si="2">V6/W6</f>
        <v>71.666666666666671</v>
      </c>
      <c r="Y6" s="124" t="s">
        <v>2269</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6"/>
      <c r="J7" s="114"/>
      <c r="K7" s="116"/>
      <c r="L7" s="114"/>
      <c r="M7" s="116"/>
      <c r="N7" s="114"/>
      <c r="O7" s="116"/>
      <c r="P7" s="114"/>
      <c r="Q7" s="114" t="s">
        <v>1033</v>
      </c>
      <c r="R7" s="114"/>
      <c r="S7" s="114" t="s">
        <v>675</v>
      </c>
      <c r="T7" s="114">
        <v>84</v>
      </c>
      <c r="U7" s="116">
        <v>157</v>
      </c>
      <c r="V7" s="155">
        <f t="shared" ref="V7" si="3">(U7+T7)/2</f>
        <v>120.5</v>
      </c>
      <c r="W7" s="155">
        <v>1.8</v>
      </c>
      <c r="X7" s="124">
        <f t="shared" ref="X7" si="4">V7/W7</f>
        <v>66.944444444444443</v>
      </c>
      <c r="Y7" s="124" t="s">
        <v>2269</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6"/>
      <c r="J8" s="114">
        <v>210</v>
      </c>
      <c r="K8" s="116"/>
      <c r="L8" s="114"/>
      <c r="M8" s="116"/>
      <c r="N8" s="114"/>
      <c r="O8" s="116"/>
      <c r="P8" s="114"/>
      <c r="Q8" s="114" t="s">
        <v>1033</v>
      </c>
      <c r="R8" s="114"/>
      <c r="S8" s="114" t="s">
        <v>684</v>
      </c>
      <c r="T8" s="114">
        <v>144</v>
      </c>
      <c r="U8" s="116">
        <v>217</v>
      </c>
      <c r="V8" s="155">
        <f t="shared" si="1"/>
        <v>180.5</v>
      </c>
      <c r="W8" s="155">
        <v>1.8</v>
      </c>
      <c r="X8" s="124">
        <f t="shared" si="2"/>
        <v>100.27777777777777</v>
      </c>
      <c r="Y8" s="124" t="s">
        <v>2269</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6"/>
      <c r="J9" s="114">
        <v>49</v>
      </c>
      <c r="K9" s="116"/>
      <c r="L9" s="114">
        <v>31</v>
      </c>
      <c r="M9" s="116"/>
      <c r="N9" s="114">
        <v>12</v>
      </c>
      <c r="O9" s="116"/>
      <c r="P9" s="114"/>
      <c r="Q9" s="114" t="s">
        <v>1033</v>
      </c>
      <c r="R9" s="114"/>
      <c r="S9" s="114" t="s">
        <v>677</v>
      </c>
      <c r="T9" s="114">
        <v>155</v>
      </c>
      <c r="U9" s="116">
        <v>233</v>
      </c>
      <c r="V9" s="155">
        <f t="shared" si="1"/>
        <v>194</v>
      </c>
      <c r="W9" s="155">
        <v>1.8</v>
      </c>
      <c r="X9" s="124">
        <f t="shared" si="2"/>
        <v>107.77777777777777</v>
      </c>
      <c r="Y9" s="114" t="s">
        <v>2269</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5">(U10+T10)/2</f>
        <v>129</v>
      </c>
      <c r="W10" s="155">
        <v>1.8</v>
      </c>
      <c r="X10" s="124">
        <f t="shared" ref="X10:X11" si="6">V10/W10</f>
        <v>71.666666666666671</v>
      </c>
      <c r="Y10" s="114" t="s">
        <v>2269</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5"/>
        <v>106.5</v>
      </c>
      <c r="W11" s="155">
        <v>1.7</v>
      </c>
      <c r="X11" s="124">
        <f t="shared" si="6"/>
        <v>62.647058823529413</v>
      </c>
      <c r="Y11" s="114" t="s">
        <v>2269</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1377</v>
      </c>
    </row>
    <row r="12" spans="1:48">
      <c r="A12" s="10" t="s">
        <v>2846</v>
      </c>
      <c r="B12" s="114">
        <v>31492</v>
      </c>
      <c r="C12" s="114">
        <v>3</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1"/>
        <v>119.5</v>
      </c>
      <c r="W12" s="155">
        <v>1.8</v>
      </c>
      <c r="X12" s="124">
        <f t="shared" si="2"/>
        <v>66.388888888888886</v>
      </c>
      <c r="Y12" s="114" t="s">
        <v>2269</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1"/>
        <v>205.5</v>
      </c>
      <c r="W13" s="155">
        <v>1.8</v>
      </c>
      <c r="X13" s="124">
        <f t="shared" si="2"/>
        <v>114.16666666666666</v>
      </c>
      <c r="Y13" s="114" t="s">
        <v>2269</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1"/>
        <v>129</v>
      </c>
      <c r="W14" s="155">
        <v>1.8</v>
      </c>
      <c r="X14" s="124">
        <f t="shared" si="2"/>
        <v>71.666666666666671</v>
      </c>
      <c r="Y14" s="114" t="s">
        <v>2269</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1"/>
        <v>172</v>
      </c>
      <c r="W15" s="155">
        <v>1.8</v>
      </c>
      <c r="X15" s="124">
        <f t="shared" si="2"/>
        <v>95.555555555555557</v>
      </c>
      <c r="Y15" s="114" t="s">
        <v>2269</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1"/>
        <v>119.5</v>
      </c>
      <c r="W16" s="155">
        <v>1.8</v>
      </c>
      <c r="X16" s="124">
        <f t="shared" si="2"/>
        <v>66.388888888888886</v>
      </c>
      <c r="Y16" s="114" t="s">
        <v>2269</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1"/>
        <v>116.5</v>
      </c>
      <c r="W17" s="155">
        <v>1.4</v>
      </c>
      <c r="X17" s="124">
        <f t="shared" si="2"/>
        <v>83.214285714285722</v>
      </c>
      <c r="Y17" s="114" t="s">
        <v>2269</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1"/>
        <v>157.5</v>
      </c>
      <c r="W19" s="155">
        <v>1.8</v>
      </c>
      <c r="X19" s="124">
        <f t="shared" si="2"/>
        <v>87.5</v>
      </c>
      <c r="Y19" s="114" t="s">
        <v>2269</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1"/>
        <v>162</v>
      </c>
      <c r="W20" s="155">
        <v>1.5</v>
      </c>
      <c r="X20" s="124">
        <f t="shared" si="2"/>
        <v>108</v>
      </c>
      <c r="Y20" s="114" t="s">
        <v>2269</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922</v>
      </c>
      <c r="AS20" s="1324"/>
      <c r="AT20" s="1324"/>
      <c r="AU20" s="1324"/>
      <c r="AV20" s="1324"/>
      <c r="AW20" s="1324" t="s">
        <v>1026</v>
      </c>
      <c r="AX20" s="1324" t="s">
        <v>1647</v>
      </c>
      <c r="AY20" s="1324" t="s">
        <v>1648</v>
      </c>
      <c r="AZ20" s="1324"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1"/>
        <v>180.5</v>
      </c>
      <c r="W21" s="155">
        <v>1.8</v>
      </c>
      <c r="X21" s="124">
        <f t="shared" si="2"/>
        <v>100.27777777777777</v>
      </c>
      <c r="Y21" s="114" t="s">
        <v>2269</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924</v>
      </c>
      <c r="AR21" s="1327">
        <f>IF(mh="The Night Blade",Optimize!C46,IF(oh="The Night Blade",Optimize!C47,10))</f>
        <v>10</v>
      </c>
      <c r="AS21" s="1324"/>
      <c r="AT21" s="1324" t="s">
        <v>925</v>
      </c>
      <c r="AU21" s="1324"/>
      <c r="AV21" s="1324">
        <v>0</v>
      </c>
      <c r="AW21" s="1325">
        <f>10/($AR$24)</f>
        <v>16.666666666666664</v>
      </c>
      <c r="AX21" s="1326">
        <v>1</v>
      </c>
      <c r="AY21" s="1325">
        <v>0</v>
      </c>
      <c r="AZ21" s="1326">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1"/>
        <v>119.5</v>
      </c>
      <c r="W22" s="155">
        <v>1.4</v>
      </c>
      <c r="X22" s="124">
        <f t="shared" si="2"/>
        <v>85.357142857142861</v>
      </c>
      <c r="Y22" s="114" t="s">
        <v>2269</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926</v>
      </c>
      <c r="AU22" s="1324"/>
      <c r="AV22" s="1324">
        <v>1</v>
      </c>
      <c r="AW22" s="1325">
        <f>10/(1+$AR$24/(1-EXP(-$AR$24)))</f>
        <v>4.2921742610378759</v>
      </c>
      <c r="AX22" s="1326">
        <f>1-EXP(-$AR$21*tnbproc)</f>
        <v>0.45118836390597361</v>
      </c>
      <c r="AY22" s="1325">
        <v>10</v>
      </c>
      <c r="AZ22" s="1326">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1"/>
        <v>164</v>
      </c>
      <c r="W23" s="155">
        <v>1.8</v>
      </c>
      <c r="X23" s="124">
        <f t="shared" si="2"/>
        <v>91.111111111111114</v>
      </c>
      <c r="Y23" s="114" t="s">
        <v>2269</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3013</v>
      </c>
      <c r="AR23" s="1326">
        <f>1.8/60*2</f>
        <v>6.0000000000000005E-2</v>
      </c>
      <c r="AS23" s="1324"/>
      <c r="AT23" s="1324" t="s">
        <v>927</v>
      </c>
      <c r="AU23" s="1324"/>
      <c r="AV23" s="1324">
        <v>2</v>
      </c>
      <c r="AW23" s="1325">
        <f>10/(1+$AR$24/(1-EXP(-$AR$24)))</f>
        <v>4.2921742610378759</v>
      </c>
      <c r="AX23" s="1326">
        <f>(1-EXP(-$AR$21*tnbproc))^2</f>
        <v>0.20357093972414927</v>
      </c>
      <c r="AY23" s="1325">
        <v>10</v>
      </c>
      <c r="AZ23" s="1326">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1"/>
        <v>129</v>
      </c>
      <c r="W24" s="155">
        <v>1.8</v>
      </c>
      <c r="X24" s="124">
        <f t="shared" si="2"/>
        <v>71.666666666666671</v>
      </c>
      <c r="Y24" s="114" t="s">
        <v>2269</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1644</v>
      </c>
      <c r="AR24" s="1327">
        <f>IF($AR$21*tnbproc&gt;0, $AR$21*tnbproc, 1)</f>
        <v>0.60000000000000009</v>
      </c>
      <c r="AS24" s="1324"/>
      <c r="AT24" s="1324" t="s">
        <v>928</v>
      </c>
      <c r="AU24" s="1324"/>
      <c r="AV24" s="1324">
        <v>3</v>
      </c>
      <c r="AW24" s="1325">
        <f>IF(time=0, AW23/EXP(-$AR$21*tnbproc), MIN(AW23/EXP(-$AR$21*tnbproc),time-SUMPRODUCT(AW21:AW23,AX21:AX23)))</f>
        <v>7.8208514155893543</v>
      </c>
      <c r="AX24" s="1326">
        <f>AX23</f>
        <v>0.20357093972414927</v>
      </c>
      <c r="AY24" s="1325">
        <v>0</v>
      </c>
      <c r="AZ24" s="1326">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1"/>
        <v>100.5</v>
      </c>
      <c r="W25" s="155">
        <v>1.4</v>
      </c>
      <c r="X25" s="124">
        <f t="shared" si="2"/>
        <v>71.785714285714292</v>
      </c>
      <c r="Y25" s="124" t="s">
        <v>2269</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929</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1"/>
        <v>130</v>
      </c>
      <c r="W26" s="155">
        <v>1.6</v>
      </c>
      <c r="X26" s="124">
        <f t="shared" si="2"/>
        <v>81.25</v>
      </c>
      <c r="Y26" s="114" t="s">
        <v>2269</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1"/>
        <v>104.5</v>
      </c>
      <c r="W27" s="155">
        <v>1.6</v>
      </c>
      <c r="X27" s="124">
        <f t="shared" si="2"/>
        <v>65.3125</v>
      </c>
      <c r="Y27" s="114" t="s">
        <v>2269</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648</v>
      </c>
      <c r="B28" s="114">
        <v>29962</v>
      </c>
      <c r="C28" s="114">
        <v>2</v>
      </c>
      <c r="D28" s="114"/>
      <c r="E28" s="114">
        <v>20</v>
      </c>
      <c r="F28" s="124">
        <f>270*itHRmhUP</f>
        <v>115.93943875030718</v>
      </c>
      <c r="G28" s="115"/>
      <c r="H28" s="115"/>
      <c r="I28" s="115"/>
      <c r="J28" s="114"/>
      <c r="K28" s="116"/>
      <c r="L28" s="114">
        <v>30</v>
      </c>
      <c r="M28" s="116"/>
      <c r="N28" s="114"/>
      <c r="O28" s="116"/>
      <c r="P28" s="114"/>
      <c r="Q28" s="114" t="s">
        <v>1033</v>
      </c>
      <c r="R28" s="114"/>
      <c r="S28" s="114" t="s">
        <v>680</v>
      </c>
      <c r="T28" s="114">
        <v>121</v>
      </c>
      <c r="U28" s="116">
        <v>226</v>
      </c>
      <c r="V28" s="155">
        <f t="shared" si="1"/>
        <v>173.5</v>
      </c>
      <c r="W28" s="155">
        <v>1.8</v>
      </c>
      <c r="X28" s="124">
        <f t="shared" si="2"/>
        <v>96.388888888888886</v>
      </c>
      <c r="Y28" s="114" t="s">
        <v>2269</v>
      </c>
      <c r="Z28" s="114"/>
      <c r="AA28" s="114"/>
      <c r="AB28" s="114"/>
      <c r="AC28" s="288"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1399</v>
      </c>
      <c r="AS28" s="1358">
        <f>75%/(BossLevel)*5/25</f>
        <v>2.054794520547945E-3</v>
      </c>
      <c r="AT28" s="1329"/>
      <c r="AU28" s="1329"/>
      <c r="AV28" s="1329"/>
      <c r="AW28" s="1329"/>
      <c r="AX28" s="1329"/>
      <c r="AY28" s="1329"/>
      <c r="AZ28" s="1329"/>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1"/>
        <v>129</v>
      </c>
      <c r="W29" s="155">
        <v>1.8</v>
      </c>
      <c r="X29" s="124">
        <f t="shared" si="2"/>
        <v>71.666666666666671</v>
      </c>
      <c r="Y29" s="114" t="s">
        <v>2269</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1"/>
        <v>100.5</v>
      </c>
      <c r="W30" s="155">
        <v>1.4</v>
      </c>
      <c r="X30" s="124">
        <f t="shared" si="2"/>
        <v>71.785714285714292</v>
      </c>
      <c r="Y30" s="124" t="s">
        <v>2269</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1"/>
        <v>129</v>
      </c>
      <c r="W31" s="155">
        <v>1.8</v>
      </c>
      <c r="X31" s="124">
        <f t="shared" si="2"/>
        <v>71.666666666666671</v>
      </c>
      <c r="Y31" s="114" t="s">
        <v>2269</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2272</v>
      </c>
      <c r="AS31" s="814"/>
      <c r="AT31" s="814"/>
      <c r="AU31" s="814"/>
      <c r="AV31" s="815"/>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1"/>
        <v>129</v>
      </c>
      <c r="W32" s="155">
        <v>1.8</v>
      </c>
      <c r="X32" s="124">
        <f t="shared" si="2"/>
        <v>71.666666666666671</v>
      </c>
      <c r="Y32" s="124" t="s">
        <v>2269</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3112</v>
      </c>
      <c r="AT32" s="114"/>
      <c r="AU32" s="114"/>
      <c r="AV32" s="806"/>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1"/>
        <v>244.5</v>
      </c>
      <c r="W33" s="155">
        <v>2</v>
      </c>
      <c r="X33" s="124">
        <f t="shared" si="2"/>
        <v>122.25</v>
      </c>
      <c r="Y33" s="124" t="s">
        <v>2269</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2282</v>
      </c>
      <c r="AR33" s="156">
        <f>'Damage Calc'!F25</f>
        <v>0.98</v>
      </c>
      <c r="AS33" s="10" t="s">
        <v>2275</v>
      </c>
      <c r="AT33" s="124">
        <f>VLOOKUP('Gear &amp; Buffs'!$B$10,MHWeaponStats,28,FALSE)</f>
        <v>0</v>
      </c>
      <c r="AU33" s="787" t="s">
        <v>2276</v>
      </c>
      <c r="AV33" s="804">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1"/>
        <v>131.5</v>
      </c>
      <c r="W34" s="155">
        <v>1.8</v>
      </c>
      <c r="X34" s="124">
        <f t="shared" si="2"/>
        <v>73.055555555555557</v>
      </c>
      <c r="Y34" s="114" t="s">
        <v>2269</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2283</v>
      </c>
      <c r="AR34" s="156">
        <f>(IF(instatk="bs",-impBS*AR33,0)+'Damage Calc'!$F$23)</f>
        <v>0.21367206909674702</v>
      </c>
      <c r="AS34" s="10" t="s">
        <v>2278</v>
      </c>
      <c r="AT34" s="124">
        <f>IF(AT33&gt;0,VLOOKUP('Gear &amp; Buffs'!$B$10,MHWeaponStats,26,FALSE),0)</f>
        <v>0</v>
      </c>
      <c r="AU34" s="10"/>
      <c r="AV34" s="804">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1"/>
        <v>165.5</v>
      </c>
      <c r="W35" s="155">
        <v>1.8</v>
      </c>
      <c r="X35" s="124">
        <f t="shared" si="2"/>
        <v>91.944444444444443</v>
      </c>
      <c r="Y35" s="114" t="s">
        <v>2269</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1"/>
        <v>175.5</v>
      </c>
      <c r="W36" s="155">
        <v>1.8</v>
      </c>
      <c r="X36" s="124">
        <f t="shared" si="2"/>
        <v>97.5</v>
      </c>
      <c r="Y36" s="114" t="s">
        <v>2269</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2280</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1"/>
        <v>140.5</v>
      </c>
      <c r="W37" s="155">
        <v>1.4</v>
      </c>
      <c r="X37" s="124">
        <f t="shared" si="2"/>
        <v>100.35714285714286</v>
      </c>
      <c r="Y37" s="114" t="s">
        <v>2269</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1"/>
        <v>143.5</v>
      </c>
      <c r="W38" s="155">
        <v>1.5</v>
      </c>
      <c r="X38" s="124">
        <f t="shared" si="2"/>
        <v>95.666666666666671</v>
      </c>
      <c r="Y38" s="114" t="s">
        <v>2269</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1"/>
        <v>121.5</v>
      </c>
      <c r="W39" s="155">
        <v>1.5</v>
      </c>
      <c r="X39" s="124">
        <f t="shared" si="2"/>
        <v>81</v>
      </c>
      <c r="Y39" s="114" t="s">
        <v>2269</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2056</v>
      </c>
      <c r="AR39" s="114"/>
      <c r="AS39" s="10" t="s">
        <v>2284</v>
      </c>
      <c r="AT39" s="124">
        <f>'Damage Calc'!K48*'Damage Calc'!L48*$AT36*$AT34</f>
        <v>0</v>
      </c>
      <c r="AU39" s="10"/>
      <c r="AV39" s="805">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1"/>
        <v>146.5</v>
      </c>
      <c r="W40" s="155">
        <v>1.8</v>
      </c>
      <c r="X40" s="124">
        <f t="shared" si="2"/>
        <v>81.388888888888886</v>
      </c>
      <c r="Y40" s="114" t="s">
        <v>2269</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2268</v>
      </c>
      <c r="AS40" s="10" t="s">
        <v>442</v>
      </c>
      <c r="AT40" s="114">
        <f>IF(AT33=1,AT39*($AR33+$AR34)*armor,0)</f>
        <v>0</v>
      </c>
      <c r="AU40" s="10"/>
      <c r="AV40" s="806">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1"/>
        <v>201.5</v>
      </c>
      <c r="W41" s="155">
        <v>1.9</v>
      </c>
      <c r="X41" s="124">
        <f t="shared" si="2"/>
        <v>106.05263157894737</v>
      </c>
      <c r="Y41" s="114" t="s">
        <v>2269</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2270</v>
      </c>
      <c r="AS41" s="10" t="s">
        <v>443</v>
      </c>
      <c r="AT41" s="114">
        <f>IF(AT33=2,AT39*($AR$33),0)</f>
        <v>0</v>
      </c>
      <c r="AU41" s="10"/>
      <c r="AV41" s="806">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1"/>
        <v>194.5</v>
      </c>
      <c r="W42" s="155">
        <v>1.8</v>
      </c>
      <c r="X42" s="124">
        <f t="shared" si="2"/>
        <v>108.05555555555556</v>
      </c>
      <c r="Y42" s="114" t="s">
        <v>2269</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2273</v>
      </c>
      <c r="AS42" s="10" t="s">
        <v>445</v>
      </c>
      <c r="AT42" s="114">
        <f>IF(AT33=3,AT39*(fullresist),0)</f>
        <v>0</v>
      </c>
      <c r="AU42" s="10"/>
      <c r="AV42" s="806">
        <f>IF(AV33=3,AV39*(fullresist),0)</f>
        <v>0</v>
      </c>
    </row>
    <row r="43" spans="1:48">
      <c r="A43" s="10" t="s">
        <v>647</v>
      </c>
      <c r="B43" s="114">
        <v>32781</v>
      </c>
      <c r="C43" s="114">
        <v>1</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1"/>
        <v>107.5</v>
      </c>
      <c r="W43" s="155">
        <v>1.5</v>
      </c>
      <c r="X43" s="124">
        <f t="shared" si="2"/>
        <v>71.666666666666671</v>
      </c>
      <c r="Y43" s="114" t="s">
        <v>2269</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2274</v>
      </c>
      <c r="AS43" s="10" t="s">
        <v>448</v>
      </c>
      <c r="AT43" s="114">
        <f>IF(AT33=4,(AT39+'Damage Calc'!K49*'Damage Calc'!L49*AT36*AT34)*fullresist,0)</f>
        <v>0</v>
      </c>
      <c r="AU43" s="10"/>
      <c r="AV43" s="806">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1"/>
        <v>129</v>
      </c>
      <c r="W44" s="155">
        <v>1.8</v>
      </c>
      <c r="X44" s="124">
        <f t="shared" si="2"/>
        <v>71.666666666666671</v>
      </c>
      <c r="Y44" s="114" t="s">
        <v>2269</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2277</v>
      </c>
      <c r="AS44" s="10" t="s">
        <v>1736</v>
      </c>
      <c r="AT44" s="114">
        <f>IF(AT33=5,(AT39)*fullresist,0)</f>
        <v>0</v>
      </c>
      <c r="AU44" s="10"/>
      <c r="AV44" s="806">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1"/>
        <v>146.5</v>
      </c>
      <c r="W45" s="155">
        <v>1.8</v>
      </c>
      <c r="X45" s="124">
        <f t="shared" si="2"/>
        <v>81.388888888888886</v>
      </c>
      <c r="Y45" s="114" t="s">
        <v>2269</v>
      </c>
      <c r="Z45" s="114"/>
      <c r="AA45" s="114"/>
      <c r="AB45" s="114"/>
      <c r="AC45" s="288"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1"/>
        <v>100.5</v>
      </c>
      <c r="W46" s="155">
        <v>1.4</v>
      </c>
      <c r="X46" s="124">
        <f t="shared" si="2"/>
        <v>71.785714285714292</v>
      </c>
      <c r="Y46" s="114" t="s">
        <v>2269</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1"/>
        <v>150.5</v>
      </c>
      <c r="W47" s="155">
        <v>1.5</v>
      </c>
      <c r="X47" s="124">
        <f t="shared" si="2"/>
        <v>100.33333333333333</v>
      </c>
      <c r="Y47" s="114" t="s">
        <v>2269</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1"/>
        <v>100.5</v>
      </c>
      <c r="W48" s="155">
        <v>1.4</v>
      </c>
      <c r="X48" s="124">
        <f t="shared" si="2"/>
        <v>71.785714285714292</v>
      </c>
      <c r="Y48" s="114" t="s">
        <v>2269</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1"/>
        <v>172</v>
      </c>
      <c r="W49" s="155">
        <v>1.8</v>
      </c>
      <c r="X49" s="124">
        <f t="shared" si="2"/>
        <v>95.555555555555557</v>
      </c>
      <c r="Y49" s="114" t="s">
        <v>2269</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1765</v>
      </c>
      <c r="B50" s="114">
        <v>33754</v>
      </c>
      <c r="C50" s="114">
        <v>3</v>
      </c>
      <c r="D50" s="114"/>
      <c r="E50" s="114"/>
      <c r="F50" s="114">
        <v>34</v>
      </c>
      <c r="G50" s="115">
        <v>21</v>
      </c>
      <c r="H50" s="115">
        <v>8</v>
      </c>
      <c r="I50" s="846"/>
      <c r="J50" s="114">
        <v>49</v>
      </c>
      <c r="K50" s="116"/>
      <c r="L50" s="114">
        <v>30</v>
      </c>
      <c r="M50" s="116"/>
      <c r="N50" s="114">
        <v>12</v>
      </c>
      <c r="O50" s="116"/>
      <c r="P50" s="114"/>
      <c r="Q50" s="114" t="s">
        <v>1033</v>
      </c>
      <c r="R50" s="114"/>
      <c r="S50" s="114" t="s">
        <v>677</v>
      </c>
      <c r="T50" s="114">
        <v>148</v>
      </c>
      <c r="U50" s="116">
        <v>223</v>
      </c>
      <c r="V50" s="155">
        <f t="shared" si="1"/>
        <v>185.5</v>
      </c>
      <c r="W50" s="155">
        <v>1.8</v>
      </c>
      <c r="X50" s="124">
        <f t="shared" si="2"/>
        <v>103.05555555555556</v>
      </c>
      <c r="Y50" s="114" t="s">
        <v>2269</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1"/>
        <v>150.5</v>
      </c>
      <c r="W51" s="155">
        <v>1.8</v>
      </c>
      <c r="X51" s="124">
        <f t="shared" si="2"/>
        <v>83.611111111111114</v>
      </c>
      <c r="Y51" s="114" t="s">
        <v>2269</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1"/>
        <v>93</v>
      </c>
      <c r="W52" s="155">
        <v>1.3</v>
      </c>
      <c r="X52" s="124">
        <f t="shared" si="2"/>
        <v>71.538461538461533</v>
      </c>
      <c r="Y52" s="115" t="s">
        <v>2269</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2269</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1033</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1376</v>
      </c>
      <c r="B56" s="742"/>
      <c r="C56" s="742"/>
      <c r="D56" s="742"/>
      <c r="E56" s="742"/>
      <c r="F56" s="742"/>
      <c r="G56" s="742"/>
      <c r="H56" s="742"/>
      <c r="I56" s="837"/>
      <c r="J56" s="742"/>
      <c r="K56" s="742"/>
      <c r="L56" s="742"/>
      <c r="M56" s="742"/>
      <c r="N56" s="742"/>
      <c r="O56" s="742"/>
      <c r="P56" s="836"/>
      <c r="Q56" s="742" t="s">
        <v>1033</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7">(U57+T57)/2</f>
        <v>143.5</v>
      </c>
      <c r="W57" s="155">
        <v>1.5</v>
      </c>
      <c r="X57" s="124">
        <f t="shared" ref="X57:X98" si="8">V57/W57</f>
        <v>95.666666666666671</v>
      </c>
      <c r="Y57" s="115" t="s">
        <v>1377</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7"/>
        <v>260.5</v>
      </c>
      <c r="W58" s="155">
        <v>2.6</v>
      </c>
      <c r="X58" s="124">
        <f t="shared" si="8"/>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7"/>
        <v>140.5</v>
      </c>
      <c r="W59" s="155">
        <v>1.4</v>
      </c>
      <c r="X59" s="124">
        <f t="shared" si="8"/>
        <v>100.35714285714286</v>
      </c>
      <c r="Y59" s="115" t="s">
        <v>1377</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7"/>
        <v>156</v>
      </c>
      <c r="W60" s="155">
        <v>1.6</v>
      </c>
      <c r="X60" s="124">
        <f t="shared" si="8"/>
        <v>97.5</v>
      </c>
      <c r="Y60" s="114" t="s">
        <v>1377</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7"/>
        <v>146</v>
      </c>
      <c r="W61" s="155">
        <v>1.6</v>
      </c>
      <c r="X61" s="124">
        <f t="shared" si="8"/>
        <v>91.25</v>
      </c>
      <c r="Y61" s="115" t="s">
        <v>1377</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7"/>
        <v>211</v>
      </c>
      <c r="W62" s="155">
        <v>2.6</v>
      </c>
      <c r="X62" s="124">
        <f t="shared" si="8"/>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2002</v>
      </c>
      <c r="B63" s="116">
        <v>35101</v>
      </c>
      <c r="C63" s="116">
        <v>5</v>
      </c>
      <c r="D63" s="114"/>
      <c r="E63" s="114"/>
      <c r="F63" s="114">
        <v>38</v>
      </c>
      <c r="G63" s="115">
        <v>22</v>
      </c>
      <c r="H63" s="115">
        <v>9</v>
      </c>
      <c r="I63" s="846"/>
      <c r="J63" s="114">
        <v>49</v>
      </c>
      <c r="K63" s="116"/>
      <c r="L63" s="114">
        <v>31</v>
      </c>
      <c r="M63" s="116"/>
      <c r="N63" s="114">
        <v>12</v>
      </c>
      <c r="O63" s="116"/>
      <c r="P63" s="114"/>
      <c r="Q63" s="114" t="s">
        <v>1033</v>
      </c>
      <c r="R63" s="114"/>
      <c r="S63" s="114" t="s">
        <v>677</v>
      </c>
      <c r="T63" s="114">
        <v>224</v>
      </c>
      <c r="U63" s="116">
        <v>337</v>
      </c>
      <c r="V63" s="155">
        <f t="shared" si="7"/>
        <v>280.5</v>
      </c>
      <c r="W63" s="155">
        <v>2.6</v>
      </c>
      <c r="X63" s="124">
        <f t="shared" si="8"/>
        <v>107.88461538461539</v>
      </c>
      <c r="Y63" s="114" t="s">
        <v>1377</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7"/>
        <v>162</v>
      </c>
      <c r="W64" s="155">
        <v>1.5</v>
      </c>
      <c r="X64" s="124">
        <f t="shared" si="8"/>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7"/>
        <v>186.5</v>
      </c>
      <c r="W65" s="155">
        <v>2.6</v>
      </c>
      <c r="X65" s="124">
        <f t="shared" si="8"/>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7"/>
        <v>183.5</v>
      </c>
      <c r="W66" s="155">
        <v>2.2000000000000002</v>
      </c>
      <c r="X66" s="124">
        <f t="shared" si="8"/>
        <v>83.409090909090907</v>
      </c>
      <c r="Y66" s="115" t="s">
        <v>1377</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7"/>
        <v>135</v>
      </c>
      <c r="W67" s="155">
        <v>1.6</v>
      </c>
      <c r="X67" s="124">
        <f t="shared" si="8"/>
        <v>84.375</v>
      </c>
      <c r="Y67" s="114" t="s">
        <v>1377</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7"/>
        <v>237</v>
      </c>
      <c r="W68" s="155">
        <v>2.6</v>
      </c>
      <c r="X68" s="124">
        <f t="shared" si="8"/>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7"/>
        <v>129</v>
      </c>
      <c r="W69" s="155">
        <v>1.8</v>
      </c>
      <c r="X69" s="124">
        <f t="shared" si="8"/>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7"/>
        <v>186.5</v>
      </c>
      <c r="W70" s="155">
        <v>2.6</v>
      </c>
      <c r="X70" s="124">
        <f t="shared" si="8"/>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7"/>
        <v>197.5</v>
      </c>
      <c r="W71" s="155">
        <v>2.7</v>
      </c>
      <c r="X71" s="124">
        <f t="shared" si="8"/>
        <v>73.148148148148138</v>
      </c>
      <c r="Y71" s="115" t="s">
        <v>1377</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7"/>
        <v>248.5</v>
      </c>
      <c r="W72" s="155">
        <v>2.6</v>
      </c>
      <c r="X72" s="124">
        <f t="shared" si="8"/>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10">(U73+T73)/2</f>
        <v>172.5</v>
      </c>
      <c r="W73" s="155">
        <v>2.9</v>
      </c>
      <c r="X73" s="124">
        <f t="shared" ref="X73" si="11">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7"/>
        <v>129</v>
      </c>
      <c r="W74" s="155">
        <v>1.8</v>
      </c>
      <c r="X74" s="124">
        <f t="shared" si="8"/>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7"/>
        <v>186.5</v>
      </c>
      <c r="W75" s="155">
        <v>2.6</v>
      </c>
      <c r="X75" s="124">
        <f t="shared" si="8"/>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7"/>
        <v>146</v>
      </c>
      <c r="W76" s="155">
        <v>1.8</v>
      </c>
      <c r="X76" s="124">
        <f t="shared" si="8"/>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7"/>
        <v>233.5</v>
      </c>
      <c r="W77" s="155">
        <v>2.6</v>
      </c>
      <c r="X77" s="124">
        <f t="shared" si="8"/>
        <v>89.807692307692307</v>
      </c>
      <c r="Y77" s="115" t="s">
        <v>1377</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7"/>
        <v>193.5</v>
      </c>
      <c r="W78" s="155">
        <v>2.7</v>
      </c>
      <c r="X78" s="124">
        <f t="shared" si="8"/>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7"/>
        <v>100.5</v>
      </c>
      <c r="W79" s="155">
        <v>1.4</v>
      </c>
      <c r="X79" s="124">
        <f t="shared" si="8"/>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7"/>
        <v>140</v>
      </c>
      <c r="W80" s="155">
        <v>1.6</v>
      </c>
      <c r="X80" s="124">
        <f t="shared" si="8"/>
        <v>87.5</v>
      </c>
      <c r="Y80" s="115" t="s">
        <v>1377</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7"/>
        <v>100.5</v>
      </c>
      <c r="W82" s="155">
        <v>1.4</v>
      </c>
      <c r="X82" s="124">
        <f t="shared" si="8"/>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7"/>
        <v>254</v>
      </c>
      <c r="W83" s="155">
        <v>2.6</v>
      </c>
      <c r="X83" s="124">
        <f t="shared" si="8"/>
        <v>97.692307692307693</v>
      </c>
      <c r="Y83" s="115" t="s">
        <v>1377</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7"/>
        <v>280.5</v>
      </c>
      <c r="W84" s="155">
        <v>2.6</v>
      </c>
      <c r="X84" s="124">
        <f t="shared" si="8"/>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7"/>
        <v>172</v>
      </c>
      <c r="W85" s="155">
        <v>2.4</v>
      </c>
      <c r="X85" s="124">
        <f t="shared" si="8"/>
        <v>71.666666666666671</v>
      </c>
      <c r="Y85" s="114" t="s">
        <v>1377</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7"/>
        <v>107.5</v>
      </c>
      <c r="W87" s="155">
        <v>1.5</v>
      </c>
      <c r="X87" s="124">
        <f t="shared" si="8"/>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7"/>
        <v>236.5</v>
      </c>
      <c r="W88" s="155">
        <v>2.7</v>
      </c>
      <c r="X88" s="124">
        <f t="shared" si="8"/>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7"/>
        <v>260.5</v>
      </c>
      <c r="W89" s="155">
        <v>2.7</v>
      </c>
      <c r="X89" s="124">
        <f t="shared" si="8"/>
        <v>96.481481481481481</v>
      </c>
      <c r="Y89" s="115" t="s">
        <v>1377</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7"/>
        <v>109.5</v>
      </c>
      <c r="W90" s="155">
        <v>1.5</v>
      </c>
      <c r="X90" s="124">
        <f t="shared" si="8"/>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7"/>
        <v>133.5</v>
      </c>
      <c r="W91" s="155">
        <v>1.6</v>
      </c>
      <c r="X91" s="124">
        <f t="shared" si="8"/>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7"/>
        <v>194</v>
      </c>
      <c r="W92" s="155">
        <v>2.7</v>
      </c>
      <c r="X92" s="124">
        <f t="shared" si="8"/>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7"/>
        <v>160.5</v>
      </c>
      <c r="W93" s="155">
        <v>1.6</v>
      </c>
      <c r="X93" s="124">
        <f t="shared" si="8"/>
        <v>100.3125</v>
      </c>
      <c r="Y93" s="115" t="s">
        <v>1377</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7"/>
        <v>102.5</v>
      </c>
      <c r="W94" s="155">
        <v>1.9</v>
      </c>
      <c r="X94" s="124">
        <f t="shared" si="8"/>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6"/>
      <c r="J95" s="114">
        <v>49</v>
      </c>
      <c r="K95" s="116"/>
      <c r="L95" s="114">
        <v>30</v>
      </c>
      <c r="M95" s="116"/>
      <c r="N95" s="114">
        <v>12</v>
      </c>
      <c r="O95" s="116"/>
      <c r="P95" s="114"/>
      <c r="Q95" s="114" t="s">
        <v>1033</v>
      </c>
      <c r="R95" s="114"/>
      <c r="S95" s="114" t="s">
        <v>677</v>
      </c>
      <c r="T95" s="114">
        <v>214</v>
      </c>
      <c r="U95" s="116">
        <v>322</v>
      </c>
      <c r="V95" s="155">
        <f t="shared" si="7"/>
        <v>268</v>
      </c>
      <c r="W95" s="155">
        <v>2.6</v>
      </c>
      <c r="X95" s="124">
        <f t="shared" si="8"/>
        <v>103.07692307692308</v>
      </c>
      <c r="Y95" s="114" t="s">
        <v>1377</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7"/>
        <v>211</v>
      </c>
      <c r="W96" s="155">
        <v>2.6</v>
      </c>
      <c r="X96" s="124">
        <f t="shared" si="8"/>
        <v>81.153846153846146</v>
      </c>
      <c r="Y96" s="115" t="s">
        <v>1377</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7"/>
        <v>306</v>
      </c>
      <c r="W97" s="155">
        <v>2.8</v>
      </c>
      <c r="X97" s="124">
        <f t="shared" si="8"/>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7"/>
        <v>354.5</v>
      </c>
      <c r="W98" s="155">
        <v>2.9</v>
      </c>
      <c r="X98" s="124">
        <f t="shared" si="8"/>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1033</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1033</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6"/>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v>34331</v>
      </c>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28.681209546617719</v>
      </c>
      <c r="J116" s="114"/>
      <c r="K116" s="116"/>
      <c r="L116" s="114"/>
      <c r="M116" s="116"/>
      <c r="N116" s="114"/>
      <c r="O116" s="116"/>
      <c r="P116" s="114"/>
      <c r="Q116" s="114" t="s">
        <v>1033</v>
      </c>
      <c r="R116" s="114"/>
      <c r="S116" s="114" t="s">
        <v>691</v>
      </c>
      <c r="T116" s="114">
        <v>152</v>
      </c>
      <c r="U116" s="116">
        <v>283</v>
      </c>
      <c r="V116" s="155">
        <f t="shared" si="12"/>
        <v>217.5</v>
      </c>
      <c r="W116" s="155">
        <v>2.6</v>
      </c>
      <c r="X116" s="124">
        <f t="shared" si="13"/>
        <v>83.653846153846146</v>
      </c>
      <c r="Y116" s="115" t="s">
        <v>6</v>
      </c>
      <c r="Z116" s="114"/>
      <c r="AA116" s="114"/>
      <c r="AB116" s="114"/>
      <c r="AC116" s="288"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6"/>
      <c r="J117" s="114">
        <v>49</v>
      </c>
      <c r="K117" s="116"/>
      <c r="L117" s="114">
        <v>30</v>
      </c>
      <c r="M117" s="116"/>
      <c r="N117" s="114">
        <v>12</v>
      </c>
      <c r="O117" s="116"/>
      <c r="P117" s="114"/>
      <c r="Q117" s="114" t="s">
        <v>1033</v>
      </c>
      <c r="R117" s="114"/>
      <c r="S117" s="114" t="s">
        <v>677</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7">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1033</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910</v>
      </c>
      <c r="B121" s="838"/>
      <c r="C121" s="838"/>
      <c r="D121" s="742"/>
      <c r="E121" s="742"/>
      <c r="F121" s="742"/>
      <c r="G121" s="837"/>
      <c r="H121" s="837"/>
      <c r="I121" s="837"/>
      <c r="J121" s="742"/>
      <c r="K121" s="838"/>
      <c r="L121" s="742"/>
      <c r="M121" s="838"/>
      <c r="N121" s="742"/>
      <c r="O121" s="838"/>
      <c r="P121" s="742"/>
      <c r="Q121" s="742" t="s">
        <v>1033</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5">(U122+T122)/2</f>
        <v>129</v>
      </c>
      <c r="W122" s="155">
        <v>1.8</v>
      </c>
      <c r="X122" s="124">
        <f t="shared" ref="X122:X146" si="16">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56.681503389039065</v>
      </c>
      <c r="J123" s="114"/>
      <c r="K123" s="116"/>
      <c r="L123" s="114"/>
      <c r="M123" s="116"/>
      <c r="N123" s="114"/>
      <c r="O123" s="116"/>
      <c r="P123" s="114"/>
      <c r="Q123" s="114" t="s">
        <v>1045</v>
      </c>
      <c r="R123" s="114" t="s">
        <v>1465</v>
      </c>
      <c r="S123" s="114" t="s">
        <v>673</v>
      </c>
      <c r="T123" s="114">
        <v>73</v>
      </c>
      <c r="U123" s="116">
        <v>136</v>
      </c>
      <c r="V123" s="155">
        <f t="shared" si="15"/>
        <v>104.5</v>
      </c>
      <c r="W123" s="155">
        <v>1.5</v>
      </c>
      <c r="X123" s="124">
        <f t="shared" si="16"/>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5"/>
        <v>186.5</v>
      </c>
      <c r="W124" s="155">
        <v>2.6</v>
      </c>
      <c r="X124" s="124">
        <f t="shared" si="16"/>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6"/>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1033</v>
      </c>
      <c r="R126" s="114"/>
      <c r="S126" s="114" t="s">
        <v>686</v>
      </c>
      <c r="T126" s="114">
        <v>172</v>
      </c>
      <c r="U126" s="116">
        <v>320</v>
      </c>
      <c r="V126" s="155">
        <f t="shared" si="15"/>
        <v>246</v>
      </c>
      <c r="W126" s="155">
        <v>2.7</v>
      </c>
      <c r="X126" s="124">
        <f t="shared" si="16"/>
        <v>91.1111111111111</v>
      </c>
      <c r="Y126" s="115" t="s">
        <v>911</v>
      </c>
      <c r="Z126" s="114"/>
      <c r="AA126" s="114"/>
      <c r="AB126" s="114"/>
      <c r="AC126" s="10" t="s">
        <v>1290</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1033</v>
      </c>
      <c r="R127" s="114"/>
      <c r="S127" s="114" t="s">
        <v>686</v>
      </c>
      <c r="T127" s="114">
        <v>184</v>
      </c>
      <c r="U127" s="116">
        <v>343</v>
      </c>
      <c r="V127" s="155">
        <f t="shared" si="15"/>
        <v>263.5</v>
      </c>
      <c r="W127" s="155">
        <v>2.7</v>
      </c>
      <c r="X127" s="124">
        <f t="shared" si="16"/>
        <v>97.592592592592581</v>
      </c>
      <c r="Y127" s="115" t="s">
        <v>911</v>
      </c>
      <c r="Z127" s="114"/>
      <c r="AA127" s="114"/>
      <c r="AB127" s="114"/>
      <c r="AC127" s="10" t="s">
        <v>1290</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91.033929685426372</v>
      </c>
      <c r="J128" s="114"/>
      <c r="K128" s="116"/>
      <c r="L128" s="114"/>
      <c r="M128" s="116"/>
      <c r="N128" s="114"/>
      <c r="O128" s="116"/>
      <c r="P128" s="114"/>
      <c r="Q128" s="114" t="s">
        <v>1033</v>
      </c>
      <c r="R128" s="114"/>
      <c r="S128" s="114" t="s">
        <v>686</v>
      </c>
      <c r="T128" s="114">
        <v>159</v>
      </c>
      <c r="U128" s="116">
        <v>296</v>
      </c>
      <c r="V128" s="155">
        <f t="shared" si="15"/>
        <v>227.5</v>
      </c>
      <c r="W128" s="155">
        <v>2.7</v>
      </c>
      <c r="X128" s="124">
        <f t="shared" si="16"/>
        <v>84.259259259259252</v>
      </c>
      <c r="Y128" s="115" t="s">
        <v>911</v>
      </c>
      <c r="Z128" s="114"/>
      <c r="AA128" s="114"/>
      <c r="AB128" s="114"/>
      <c r="AC128" s="10" t="s">
        <v>1290</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1043</v>
      </c>
      <c r="R129" s="114" t="s">
        <v>1338</v>
      </c>
      <c r="S129" s="114" t="s">
        <v>672</v>
      </c>
      <c r="T129" s="114">
        <v>159</v>
      </c>
      <c r="U129" s="116">
        <v>296</v>
      </c>
      <c r="V129" s="155">
        <f t="shared" si="15"/>
        <v>227.5</v>
      </c>
      <c r="W129" s="155">
        <v>2.6</v>
      </c>
      <c r="X129" s="124">
        <f t="shared" si="16"/>
        <v>87.5</v>
      </c>
      <c r="Y129" s="114" t="s">
        <v>911</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1033</v>
      </c>
      <c r="R130" s="114"/>
      <c r="S130" s="114" t="s">
        <v>677</v>
      </c>
      <c r="T130" s="114">
        <v>189</v>
      </c>
      <c r="U130" s="116">
        <v>285</v>
      </c>
      <c r="V130" s="155">
        <f t="shared" si="15"/>
        <v>237</v>
      </c>
      <c r="W130" s="155">
        <v>2.6</v>
      </c>
      <c r="X130" s="124">
        <f t="shared" si="16"/>
        <v>91.153846153846146</v>
      </c>
      <c r="Y130" s="114" t="s">
        <v>911</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6"/>
      <c r="J131" s="114"/>
      <c r="K131" s="116"/>
      <c r="L131" s="114">
        <v>18</v>
      </c>
      <c r="M131" s="116"/>
      <c r="N131" s="114">
        <v>9</v>
      </c>
      <c r="O131" s="116"/>
      <c r="P131" s="114"/>
      <c r="Q131" s="114" t="s">
        <v>1033</v>
      </c>
      <c r="R131" s="114"/>
      <c r="S131" s="114" t="s">
        <v>677</v>
      </c>
      <c r="T131" s="114">
        <v>103</v>
      </c>
      <c r="U131" s="116">
        <v>155</v>
      </c>
      <c r="V131" s="155">
        <f t="shared" si="15"/>
        <v>129</v>
      </c>
      <c r="W131" s="155">
        <v>1.8</v>
      </c>
      <c r="X131" s="124">
        <f t="shared" si="16"/>
        <v>71.666666666666671</v>
      </c>
      <c r="Y131" s="114" t="s">
        <v>911</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6"/>
      <c r="J132" s="114"/>
      <c r="K132" s="116"/>
      <c r="L132" s="114">
        <v>18</v>
      </c>
      <c r="M132" s="116"/>
      <c r="N132" s="114">
        <v>9</v>
      </c>
      <c r="O132" s="116"/>
      <c r="P132" s="114"/>
      <c r="Q132" s="114" t="s">
        <v>1033</v>
      </c>
      <c r="R132" s="114"/>
      <c r="S132" s="114" t="s">
        <v>677</v>
      </c>
      <c r="T132" s="114">
        <v>149</v>
      </c>
      <c r="U132" s="116">
        <v>224</v>
      </c>
      <c r="V132" s="155">
        <f t="shared" si="15"/>
        <v>186.5</v>
      </c>
      <c r="W132" s="155">
        <v>2.6</v>
      </c>
      <c r="X132" s="124">
        <f t="shared" si="16"/>
        <v>71.730769230769226</v>
      </c>
      <c r="Y132" s="114" t="s">
        <v>911</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6"/>
      <c r="J133" s="114"/>
      <c r="K133" s="116"/>
      <c r="L133" s="114">
        <v>18</v>
      </c>
      <c r="M133" s="116"/>
      <c r="N133" s="114">
        <v>9</v>
      </c>
      <c r="O133" s="116"/>
      <c r="P133" s="114"/>
      <c r="Q133" s="114" t="s">
        <v>1033</v>
      </c>
      <c r="R133" s="114"/>
      <c r="S133" s="114" t="s">
        <v>677</v>
      </c>
      <c r="T133" s="114">
        <v>103</v>
      </c>
      <c r="U133" s="116">
        <v>155</v>
      </c>
      <c r="V133" s="155">
        <f t="shared" si="15"/>
        <v>129</v>
      </c>
      <c r="W133" s="155">
        <v>1.8</v>
      </c>
      <c r="X133" s="124">
        <f t="shared" si="16"/>
        <v>71.666666666666671</v>
      </c>
      <c r="Y133" s="114" t="s">
        <v>911</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6"/>
      <c r="J134" s="114"/>
      <c r="K134" s="116"/>
      <c r="L134" s="114">
        <v>18</v>
      </c>
      <c r="M134" s="116"/>
      <c r="N134" s="114">
        <v>9</v>
      </c>
      <c r="O134" s="116"/>
      <c r="P134" s="114"/>
      <c r="Q134" s="114" t="s">
        <v>1033</v>
      </c>
      <c r="R134" s="114"/>
      <c r="S134" s="114" t="s">
        <v>677</v>
      </c>
      <c r="T134" s="114">
        <v>149</v>
      </c>
      <c r="U134" s="116">
        <v>224</v>
      </c>
      <c r="V134" s="155">
        <f t="shared" si="15"/>
        <v>186.5</v>
      </c>
      <c r="W134" s="155">
        <v>2.6</v>
      </c>
      <c r="X134" s="124">
        <f t="shared" si="16"/>
        <v>71.730769230769226</v>
      </c>
      <c r="Y134" s="114" t="s">
        <v>911</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6"/>
      <c r="J135" s="114"/>
      <c r="K135" s="116">
        <v>14</v>
      </c>
      <c r="L135" s="114">
        <v>34</v>
      </c>
      <c r="M135" s="116"/>
      <c r="N135" s="114"/>
      <c r="O135" s="116">
        <v>16</v>
      </c>
      <c r="P135" s="114"/>
      <c r="Q135" s="114" t="s">
        <v>1033</v>
      </c>
      <c r="R135" s="114"/>
      <c r="S135" s="114" t="s">
        <v>667</v>
      </c>
      <c r="T135" s="114">
        <v>115</v>
      </c>
      <c r="U135" s="116">
        <v>214</v>
      </c>
      <c r="V135" s="155">
        <f t="shared" si="15"/>
        <v>164.5</v>
      </c>
      <c r="W135" s="155">
        <v>1.7</v>
      </c>
      <c r="X135" s="124">
        <f t="shared" si="16"/>
        <v>96.764705882352942</v>
      </c>
      <c r="Y135" s="114" t="s">
        <v>911</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5"/>
        <v>253.5</v>
      </c>
      <c r="W136" s="155">
        <v>2.6</v>
      </c>
      <c r="X136" s="124">
        <f t="shared" si="16"/>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5"/>
        <v>270.5</v>
      </c>
      <c r="W137" s="155">
        <v>2.7</v>
      </c>
      <c r="X137" s="124">
        <f t="shared" si="16"/>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1033</v>
      </c>
      <c r="R138" s="114"/>
      <c r="S138" s="114" t="s">
        <v>685</v>
      </c>
      <c r="T138" s="114">
        <v>140</v>
      </c>
      <c r="U138" s="116">
        <v>261</v>
      </c>
      <c r="V138" s="155">
        <f t="shared" si="15"/>
        <v>200.5</v>
      </c>
      <c r="W138" s="155">
        <v>2.4</v>
      </c>
      <c r="X138" s="124">
        <f t="shared" si="16"/>
        <v>83.541666666666671</v>
      </c>
      <c r="Y138" s="114" t="s">
        <v>911</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5"/>
        <v>150.5</v>
      </c>
      <c r="W139" s="155">
        <v>1.5</v>
      </c>
      <c r="X139" s="124">
        <f t="shared" si="16"/>
        <v>100.33333333333333</v>
      </c>
      <c r="Y139" s="114" t="s">
        <v>911</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6"/>
      <c r="J140" s="114"/>
      <c r="K140" s="116"/>
      <c r="L140" s="114"/>
      <c r="M140" s="116"/>
      <c r="N140" s="114"/>
      <c r="O140" s="116"/>
      <c r="P140" s="114"/>
      <c r="Q140" s="114" t="s">
        <v>1033</v>
      </c>
      <c r="R140" s="114"/>
      <c r="S140" s="114" t="s">
        <v>683</v>
      </c>
      <c r="T140" s="114">
        <v>196</v>
      </c>
      <c r="U140" s="116">
        <v>365</v>
      </c>
      <c r="V140" s="155">
        <f t="shared" si="15"/>
        <v>280.5</v>
      </c>
      <c r="W140" s="155">
        <v>2.8</v>
      </c>
      <c r="X140" s="124">
        <f t="shared" si="16"/>
        <v>100.17857142857143</v>
      </c>
      <c r="Y140" s="114" t="s">
        <v>911</v>
      </c>
      <c r="Z140" s="114"/>
      <c r="AA140" s="114"/>
      <c r="AB140" s="114"/>
      <c r="AC140" s="10" t="s">
        <v>616</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6"/>
      <c r="J141" s="114"/>
      <c r="K141" s="116"/>
      <c r="L141" s="114">
        <v>21</v>
      </c>
      <c r="M141" s="116"/>
      <c r="N141" s="114"/>
      <c r="O141" s="116"/>
      <c r="P141" s="114"/>
      <c r="Q141" s="114" t="s">
        <v>1033</v>
      </c>
      <c r="R141" s="114"/>
      <c r="S141" s="114" t="s">
        <v>675</v>
      </c>
      <c r="T141" s="114">
        <v>125</v>
      </c>
      <c r="U141" s="116">
        <v>233</v>
      </c>
      <c r="V141" s="155">
        <f t="shared" si="15"/>
        <v>179</v>
      </c>
      <c r="W141" s="155">
        <v>2.5</v>
      </c>
      <c r="X141" s="124">
        <f t="shared" si="16"/>
        <v>71.599999999999994</v>
      </c>
      <c r="Y141" s="114" t="s">
        <v>911</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6"/>
      <c r="J142" s="114"/>
      <c r="K142" s="116"/>
      <c r="L142" s="114">
        <v>21</v>
      </c>
      <c r="M142" s="116"/>
      <c r="N142" s="114"/>
      <c r="O142" s="116"/>
      <c r="P142" s="114"/>
      <c r="Q142" s="114" t="s">
        <v>1033</v>
      </c>
      <c r="R142" s="114"/>
      <c r="S142" s="114" t="s">
        <v>675</v>
      </c>
      <c r="T142" s="114">
        <v>125</v>
      </c>
      <c r="U142" s="116">
        <v>233</v>
      </c>
      <c r="V142" s="155">
        <f t="shared" si="15"/>
        <v>179</v>
      </c>
      <c r="W142" s="155">
        <v>2.5</v>
      </c>
      <c r="X142" s="124">
        <f t="shared" si="16"/>
        <v>71.599999999999994</v>
      </c>
      <c r="Y142" s="114" t="s">
        <v>911</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6"/>
      <c r="J143" s="114"/>
      <c r="K143" s="116"/>
      <c r="L143" s="114">
        <v>21</v>
      </c>
      <c r="M143" s="116"/>
      <c r="N143" s="114"/>
      <c r="O143" s="116">
        <v>14</v>
      </c>
      <c r="P143" s="114"/>
      <c r="Q143" s="114" t="s">
        <v>1033</v>
      </c>
      <c r="R143" s="114"/>
      <c r="S143" s="114" t="s">
        <v>675</v>
      </c>
      <c r="T143" s="114">
        <v>125</v>
      </c>
      <c r="U143" s="116">
        <v>233</v>
      </c>
      <c r="V143" s="155">
        <f t="shared" si="15"/>
        <v>179</v>
      </c>
      <c r="W143" s="155">
        <v>2.5</v>
      </c>
      <c r="X143" s="124">
        <f t="shared" si="16"/>
        <v>71.599999999999994</v>
      </c>
      <c r="Y143" s="114" t="s">
        <v>911</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6"/>
      <c r="J144" s="114"/>
      <c r="K144" s="116"/>
      <c r="L144" s="114">
        <v>21</v>
      </c>
      <c r="M144" s="116"/>
      <c r="N144" s="114"/>
      <c r="O144" s="116"/>
      <c r="P144" s="114"/>
      <c r="Q144" s="114" t="s">
        <v>1033</v>
      </c>
      <c r="R144" s="114"/>
      <c r="S144" s="114" t="s">
        <v>675</v>
      </c>
      <c r="T144" s="114">
        <v>125</v>
      </c>
      <c r="U144" s="116">
        <v>233</v>
      </c>
      <c r="V144" s="155">
        <f t="shared" si="15"/>
        <v>179</v>
      </c>
      <c r="W144" s="155">
        <v>2.5</v>
      </c>
      <c r="X144" s="124">
        <f t="shared" si="16"/>
        <v>71.599999999999994</v>
      </c>
      <c r="Y144" s="114" t="s">
        <v>911</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1033</v>
      </c>
      <c r="R145" s="114"/>
      <c r="S145" s="114" t="s">
        <v>673</v>
      </c>
      <c r="T145" s="114">
        <v>100</v>
      </c>
      <c r="U145" s="116">
        <v>187</v>
      </c>
      <c r="V145" s="155">
        <f t="shared" si="15"/>
        <v>143.5</v>
      </c>
      <c r="W145" s="155">
        <v>2</v>
      </c>
      <c r="X145" s="124">
        <f t="shared" si="16"/>
        <v>71.75</v>
      </c>
      <c r="Y145" s="114" t="s">
        <v>911</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1033</v>
      </c>
      <c r="R146" s="114"/>
      <c r="S146" s="114" t="s">
        <v>691</v>
      </c>
      <c r="T146" s="114">
        <v>90</v>
      </c>
      <c r="U146" s="116">
        <v>168</v>
      </c>
      <c r="V146" s="155">
        <f t="shared" si="15"/>
        <v>129</v>
      </c>
      <c r="W146" s="155">
        <v>1.8</v>
      </c>
      <c r="X146" s="124">
        <f t="shared" si="16"/>
        <v>71.666666666666671</v>
      </c>
      <c r="Y146" s="114" t="s">
        <v>911</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6"/>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1740</v>
      </c>
      <c r="B150" s="752" t="s">
        <v>1934</v>
      </c>
      <c r="C150" s="752" t="s">
        <v>2798</v>
      </c>
      <c r="D150" s="752" t="s">
        <v>1214</v>
      </c>
      <c r="E150" s="752" t="s">
        <v>1215</v>
      </c>
      <c r="F150" s="752" t="s">
        <v>768</v>
      </c>
      <c r="G150" s="753" t="s">
        <v>2140</v>
      </c>
      <c r="H150" s="753" t="s">
        <v>2139</v>
      </c>
      <c r="I150" s="816" t="s">
        <v>771</v>
      </c>
      <c r="J150" s="817" t="s">
        <v>1739</v>
      </c>
      <c r="K150" s="753" t="s">
        <v>760</v>
      </c>
      <c r="L150" s="752" t="s">
        <v>1216</v>
      </c>
      <c r="M150" s="753" t="s">
        <v>264</v>
      </c>
      <c r="N150" s="753" t="s">
        <v>1217</v>
      </c>
      <c r="O150" s="753" t="s">
        <v>1287</v>
      </c>
      <c r="P150" s="752" t="s">
        <v>1221</v>
      </c>
      <c r="Q150" s="730" t="s">
        <v>1032</v>
      </c>
      <c r="R150" s="730" t="s">
        <v>1941</v>
      </c>
      <c r="S150" s="752" t="s">
        <v>666</v>
      </c>
      <c r="T150" s="818" t="s">
        <v>1222</v>
      </c>
      <c r="U150" s="753" t="s">
        <v>1223</v>
      </c>
      <c r="V150" s="818" t="s">
        <v>1705</v>
      </c>
      <c r="W150" s="818" t="s">
        <v>146</v>
      </c>
      <c r="X150" s="752" t="s">
        <v>1538</v>
      </c>
      <c r="Y150" s="752" t="s">
        <v>1225</v>
      </c>
      <c r="Z150" s="752" t="s">
        <v>564</v>
      </c>
      <c r="AA150" s="752" t="s">
        <v>565</v>
      </c>
      <c r="AB150" s="752" t="s">
        <v>566</v>
      </c>
      <c r="AC150" s="739" t="s">
        <v>567</v>
      </c>
      <c r="AD150" s="818"/>
      <c r="AE150" s="743">
        <v>0</v>
      </c>
      <c r="AF150" s="743">
        <v>0</v>
      </c>
      <c r="AG150" s="114"/>
    </row>
    <row r="151" spans="1:48" ht="12" thickBot="1">
      <c r="A151" s="836" t="s">
        <v>2057</v>
      </c>
      <c r="B151" s="838"/>
      <c r="C151" s="838"/>
      <c r="D151" s="742"/>
      <c r="E151" s="742"/>
      <c r="F151" s="742"/>
      <c r="G151" s="742"/>
      <c r="H151" s="742"/>
      <c r="I151" s="837"/>
      <c r="J151" s="742"/>
      <c r="K151" s="838"/>
      <c r="L151" s="742"/>
      <c r="M151" s="838"/>
      <c r="N151" s="742"/>
      <c r="O151" s="838"/>
      <c r="P151" s="742"/>
      <c r="Q151" s="742" t="s">
        <v>1033</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9">(U154+T154)/2</f>
        <v>140</v>
      </c>
      <c r="W154" s="155">
        <v>1.6</v>
      </c>
      <c r="X154" s="124">
        <f t="shared" ref="X154:X208" si="20">V154/W154</f>
        <v>87.5</v>
      </c>
      <c r="Y154" s="114" t="s">
        <v>2269</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6"/>
      <c r="J155" s="114"/>
      <c r="K155" s="116"/>
      <c r="L155" s="114">
        <v>12</v>
      </c>
      <c r="M155" s="116"/>
      <c r="N155" s="114"/>
      <c r="O155" s="116"/>
      <c r="P155" s="114"/>
      <c r="Q155" s="114" t="s">
        <v>1033</v>
      </c>
      <c r="R155" s="114"/>
      <c r="S155" s="114" t="s">
        <v>676</v>
      </c>
      <c r="T155" s="114">
        <v>90</v>
      </c>
      <c r="U155" s="116">
        <v>168</v>
      </c>
      <c r="V155" s="155">
        <f t="shared" si="19"/>
        <v>129</v>
      </c>
      <c r="W155" s="155">
        <v>1.8</v>
      </c>
      <c r="X155" s="124">
        <f t="shared" si="20"/>
        <v>71.666666666666671</v>
      </c>
      <c r="Y155" s="124" t="s">
        <v>2269</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6"/>
      <c r="J156" s="114"/>
      <c r="K156" s="116"/>
      <c r="L156" s="114"/>
      <c r="M156" s="116"/>
      <c r="N156" s="114"/>
      <c r="O156" s="116"/>
      <c r="P156" s="114"/>
      <c r="Q156" s="114" t="s">
        <v>1033</v>
      </c>
      <c r="R156" s="114"/>
      <c r="S156" s="114" t="s">
        <v>675</v>
      </c>
      <c r="T156" s="114">
        <v>84</v>
      </c>
      <c r="U156" s="116">
        <v>157</v>
      </c>
      <c r="V156" s="155">
        <f t="shared" si="19"/>
        <v>120.5</v>
      </c>
      <c r="W156" s="155">
        <v>1.8</v>
      </c>
      <c r="X156" s="124">
        <f t="shared" si="20"/>
        <v>66.944444444444443</v>
      </c>
      <c r="Y156" s="124" t="s">
        <v>2269</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6"/>
      <c r="J157" s="114">
        <v>210</v>
      </c>
      <c r="K157" s="116"/>
      <c r="L157" s="114"/>
      <c r="M157" s="116"/>
      <c r="N157" s="114"/>
      <c r="O157" s="116"/>
      <c r="P157" s="114"/>
      <c r="Q157" s="114" t="s">
        <v>1033</v>
      </c>
      <c r="R157" s="114"/>
      <c r="S157" s="114" t="s">
        <v>684</v>
      </c>
      <c r="T157" s="114">
        <v>144</v>
      </c>
      <c r="U157" s="116">
        <v>217</v>
      </c>
      <c r="V157" s="155">
        <f t="shared" si="19"/>
        <v>180.5</v>
      </c>
      <c r="W157" s="155">
        <v>1.8</v>
      </c>
      <c r="X157" s="124">
        <f t="shared" si="20"/>
        <v>100.27777777777777</v>
      </c>
      <c r="Y157" s="124" t="s">
        <v>2269</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6"/>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6"/>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6"/>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21">(U161+T161)/2</f>
        <v>129</v>
      </c>
      <c r="W161" s="155">
        <v>1.8</v>
      </c>
      <c r="X161" s="124">
        <f t="shared" ref="X161:X163" si="22">V161/W161</f>
        <v>71.666666666666671</v>
      </c>
      <c r="Y161" s="114" t="s">
        <v>2269</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21"/>
        <v>106.5</v>
      </c>
      <c r="W162" s="155">
        <v>1.7</v>
      </c>
      <c r="X162" s="124">
        <f t="shared" si="22"/>
        <v>62.647058823529413</v>
      </c>
      <c r="Y162" s="114" t="s">
        <v>2269</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2846</v>
      </c>
      <c r="B163" s="114">
        <v>31492</v>
      </c>
      <c r="C163" s="114">
        <v>3</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21"/>
        <v>119.5</v>
      </c>
      <c r="W163" s="155">
        <v>1.8</v>
      </c>
      <c r="X163" s="124">
        <f t="shared" si="22"/>
        <v>66.388888888888886</v>
      </c>
      <c r="Y163" s="114" t="s">
        <v>2269</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9"/>
        <v>205.5</v>
      </c>
      <c r="W164" s="155">
        <v>1.8</v>
      </c>
      <c r="X164" s="124">
        <f t="shared" si="20"/>
        <v>114.16666666666666</v>
      </c>
      <c r="Y164" s="114" t="s">
        <v>2269</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9"/>
        <v>129</v>
      </c>
      <c r="W165" s="155">
        <v>1.8</v>
      </c>
      <c r="X165" s="124">
        <f t="shared" si="20"/>
        <v>71.666666666666671</v>
      </c>
      <c r="Y165" s="114" t="s">
        <v>2269</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9"/>
        <v>172</v>
      </c>
      <c r="W166" s="155">
        <v>1.8</v>
      </c>
      <c r="X166" s="124">
        <f t="shared" si="20"/>
        <v>95.555555555555557</v>
      </c>
      <c r="Y166" s="114" t="s">
        <v>2269</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9"/>
        <v>119.5</v>
      </c>
      <c r="W167" s="155">
        <v>1.8</v>
      </c>
      <c r="X167" s="124">
        <f t="shared" si="20"/>
        <v>66.388888888888886</v>
      </c>
      <c r="Y167" s="114" t="s">
        <v>2269</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9"/>
        <v>116.5</v>
      </c>
      <c r="W168" s="155">
        <v>1.4</v>
      </c>
      <c r="X168" s="124">
        <f t="shared" si="20"/>
        <v>83.214285714285722</v>
      </c>
      <c r="Y168" s="114" t="s">
        <v>2269</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9"/>
        <v>113.5</v>
      </c>
      <c r="W169" s="155">
        <v>1.3</v>
      </c>
      <c r="X169" s="124">
        <f t="shared" si="20"/>
        <v>87.307692307692307</v>
      </c>
      <c r="Y169" s="114" t="s">
        <v>2269</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9"/>
        <v>157.5</v>
      </c>
      <c r="W170" s="155">
        <v>1.8</v>
      </c>
      <c r="X170" s="124">
        <f t="shared" si="20"/>
        <v>87.5</v>
      </c>
      <c r="Y170" s="114" t="s">
        <v>2269</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9"/>
        <v>162</v>
      </c>
      <c r="W171" s="155">
        <v>1.5</v>
      </c>
      <c r="X171" s="124">
        <f t="shared" si="20"/>
        <v>108</v>
      </c>
      <c r="Y171" s="114" t="s">
        <v>2269</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9"/>
        <v>180.5</v>
      </c>
      <c r="W172" s="155">
        <v>1.8</v>
      </c>
      <c r="X172" s="124">
        <f t="shared" si="20"/>
        <v>100.27777777777777</v>
      </c>
      <c r="Y172" s="114" t="s">
        <v>2269</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9"/>
        <v>119.5</v>
      </c>
      <c r="W173" s="155">
        <v>1.4</v>
      </c>
      <c r="X173" s="124">
        <f t="shared" si="20"/>
        <v>85.357142857142861</v>
      </c>
      <c r="Y173" s="114" t="s">
        <v>2269</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9"/>
        <v>164</v>
      </c>
      <c r="W174" s="155">
        <v>1.8</v>
      </c>
      <c r="X174" s="124">
        <f t="shared" si="20"/>
        <v>91.111111111111114</v>
      </c>
      <c r="Y174" s="114" t="s">
        <v>2269</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9"/>
        <v>127.5</v>
      </c>
      <c r="W175" s="155">
        <v>1.4</v>
      </c>
      <c r="X175" s="124">
        <f t="shared" si="20"/>
        <v>91.071428571428584</v>
      </c>
      <c r="Y175" s="114" t="s">
        <v>2269</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9"/>
        <v>129</v>
      </c>
      <c r="W176" s="155">
        <v>1.8</v>
      </c>
      <c r="X176" s="124">
        <f t="shared" si="20"/>
        <v>71.666666666666671</v>
      </c>
      <c r="Y176" s="114" t="s">
        <v>2269</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9"/>
        <v>100.5</v>
      </c>
      <c r="W177" s="155">
        <v>1.4</v>
      </c>
      <c r="X177" s="124">
        <f t="shared" si="20"/>
        <v>71.785714285714292</v>
      </c>
      <c r="Y177" s="124" t="s">
        <v>2269</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9"/>
        <v>130</v>
      </c>
      <c r="W178" s="155">
        <v>1.6</v>
      </c>
      <c r="X178" s="124">
        <f t="shared" si="20"/>
        <v>81.25</v>
      </c>
      <c r="Y178" s="114" t="s">
        <v>2269</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9"/>
        <v>104.5</v>
      </c>
      <c r="W179" s="155">
        <v>1.6</v>
      </c>
      <c r="X179" s="124">
        <f t="shared" si="20"/>
        <v>65.3125</v>
      </c>
      <c r="Y179" s="114" t="s">
        <v>2269</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1033</v>
      </c>
      <c r="R180" s="114"/>
      <c r="S180" s="114" t="s">
        <v>680</v>
      </c>
      <c r="T180" s="114">
        <v>121</v>
      </c>
      <c r="U180" s="116">
        <v>226</v>
      </c>
      <c r="V180" s="155">
        <f t="shared" si="19"/>
        <v>173.5</v>
      </c>
      <c r="W180" s="155">
        <v>1.8</v>
      </c>
      <c r="X180" s="124">
        <f t="shared" si="20"/>
        <v>96.388888888888886</v>
      </c>
      <c r="Y180" s="114" t="s">
        <v>2269</v>
      </c>
      <c r="Z180" s="114"/>
      <c r="AA180" s="114"/>
      <c r="AB180" s="114"/>
      <c r="AC180" s="288"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9"/>
        <v>129</v>
      </c>
      <c r="W181" s="155">
        <v>1.8</v>
      </c>
      <c r="X181" s="124">
        <f t="shared" si="20"/>
        <v>71.666666666666671</v>
      </c>
      <c r="Y181" s="114" t="s">
        <v>2269</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9"/>
        <v>100.5</v>
      </c>
      <c r="W182" s="155">
        <v>1.4</v>
      </c>
      <c r="X182" s="124">
        <f t="shared" si="20"/>
        <v>71.785714285714292</v>
      </c>
      <c r="Y182" s="124" t="s">
        <v>2269</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9"/>
        <v>129</v>
      </c>
      <c r="W183" s="155">
        <v>1.8</v>
      </c>
      <c r="X183" s="124">
        <f t="shared" si="20"/>
        <v>71.666666666666671</v>
      </c>
      <c r="Y183" s="114" t="s">
        <v>2269</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9"/>
        <v>244.5</v>
      </c>
      <c r="W184" s="155">
        <v>2</v>
      </c>
      <c r="X184" s="124">
        <f t="shared" si="20"/>
        <v>122.25</v>
      </c>
      <c r="Y184" s="124" t="s">
        <v>2269</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9"/>
        <v>131.5</v>
      </c>
      <c r="W185" s="155">
        <v>1.8</v>
      </c>
      <c r="X185" s="124">
        <f t="shared" si="20"/>
        <v>73.055555555555557</v>
      </c>
      <c r="Y185" s="114" t="s">
        <v>2269</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9"/>
        <v>165.5</v>
      </c>
      <c r="W186" s="155">
        <v>1.8</v>
      </c>
      <c r="X186" s="124">
        <f t="shared" si="20"/>
        <v>91.944444444444443</v>
      </c>
      <c r="Y186" s="114" t="s">
        <v>2269</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9"/>
        <v>175.5</v>
      </c>
      <c r="W187" s="155">
        <v>1.8</v>
      </c>
      <c r="X187" s="124">
        <f t="shared" si="20"/>
        <v>97.5</v>
      </c>
      <c r="Y187" s="114" t="s">
        <v>2269</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9"/>
        <v>136.5</v>
      </c>
      <c r="W188" s="155">
        <v>1.4</v>
      </c>
      <c r="X188" s="124">
        <f t="shared" si="20"/>
        <v>97.5</v>
      </c>
      <c r="Y188" s="114" t="s">
        <v>2269</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9"/>
        <v>140.5</v>
      </c>
      <c r="W189" s="155">
        <v>1.4</v>
      </c>
      <c r="X189" s="124">
        <f t="shared" si="20"/>
        <v>100.35714285714286</v>
      </c>
      <c r="Y189" s="114" t="s">
        <v>2269</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9"/>
        <v>143.5</v>
      </c>
      <c r="W190" s="155">
        <v>1.5</v>
      </c>
      <c r="X190" s="124">
        <f t="shared" si="20"/>
        <v>95.666666666666671</v>
      </c>
      <c r="Y190" s="114" t="s">
        <v>2269</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9"/>
        <v>121.5</v>
      </c>
      <c r="W191" s="155">
        <v>1.5</v>
      </c>
      <c r="X191" s="124">
        <f t="shared" si="20"/>
        <v>81</v>
      </c>
      <c r="Y191" s="114" t="s">
        <v>2269</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9"/>
        <v>146.5</v>
      </c>
      <c r="W192" s="155">
        <v>1.8</v>
      </c>
      <c r="X192" s="124">
        <f t="shared" si="20"/>
        <v>81.388888888888886</v>
      </c>
      <c r="Y192" s="114" t="s">
        <v>2269</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9"/>
        <v>111</v>
      </c>
      <c r="W193" s="155">
        <v>1.3</v>
      </c>
      <c r="X193" s="124">
        <f t="shared" si="20"/>
        <v>85.384615384615387</v>
      </c>
      <c r="Y193" s="114" t="s">
        <v>2269</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9"/>
        <v>201.5</v>
      </c>
      <c r="W194" s="155">
        <v>1.9</v>
      </c>
      <c r="X194" s="124">
        <f t="shared" si="20"/>
        <v>106.05263157894737</v>
      </c>
      <c r="Y194" s="114" t="s">
        <v>2269</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9"/>
        <v>154.5</v>
      </c>
      <c r="W196" s="155">
        <v>1.5</v>
      </c>
      <c r="X196" s="124">
        <f t="shared" si="20"/>
        <v>103</v>
      </c>
      <c r="Y196" s="114" t="s">
        <v>2269</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9"/>
        <v>129</v>
      </c>
      <c r="W197" s="155">
        <v>1.8</v>
      </c>
      <c r="X197" s="124">
        <f t="shared" si="20"/>
        <v>71.666666666666671</v>
      </c>
      <c r="Y197" s="114" t="s">
        <v>2269</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9"/>
        <v>146.5</v>
      </c>
      <c r="W199" s="155">
        <v>1.8</v>
      </c>
      <c r="X199" s="124">
        <f t="shared" si="20"/>
        <v>81.388888888888886</v>
      </c>
      <c r="Y199" s="114" t="s">
        <v>2269</v>
      </c>
      <c r="Z199" s="114"/>
      <c r="AA199" s="114"/>
      <c r="AB199" s="114"/>
      <c r="AC199" s="288"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9"/>
        <v>100.5</v>
      </c>
      <c r="W200" s="155">
        <v>1.4</v>
      </c>
      <c r="X200" s="124">
        <f t="shared" si="20"/>
        <v>71.785714285714292</v>
      </c>
      <c r="Y200" s="114" t="s">
        <v>2269</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9"/>
        <v>150.5</v>
      </c>
      <c r="W201" s="155">
        <v>1.5</v>
      </c>
      <c r="X201" s="124">
        <f t="shared" si="20"/>
        <v>100.33333333333333</v>
      </c>
      <c r="Y201" s="114" t="s">
        <v>2269</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9"/>
        <v>100.5</v>
      </c>
      <c r="W202" s="155">
        <v>1.4</v>
      </c>
      <c r="X202" s="124">
        <f t="shared" si="20"/>
        <v>71.785714285714292</v>
      </c>
      <c r="Y202" s="114" t="s">
        <v>2269</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9"/>
        <v>172</v>
      </c>
      <c r="W203" s="155">
        <v>1.8</v>
      </c>
      <c r="X203" s="124">
        <f t="shared" si="20"/>
        <v>95.555555555555557</v>
      </c>
      <c r="Y203" s="114" t="s">
        <v>2269</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1421</v>
      </c>
      <c r="B204" s="114">
        <v>33801</v>
      </c>
      <c r="C204" s="114">
        <v>3</v>
      </c>
      <c r="D204" s="114"/>
      <c r="E204" s="114"/>
      <c r="F204" s="114">
        <v>34</v>
      </c>
      <c r="G204" s="115">
        <v>21</v>
      </c>
      <c r="H204" s="115">
        <v>8</v>
      </c>
      <c r="I204" s="846"/>
      <c r="J204" s="114">
        <v>49</v>
      </c>
      <c r="K204" s="116"/>
      <c r="L204" s="114">
        <v>30</v>
      </c>
      <c r="M204" s="116"/>
      <c r="N204" s="114">
        <v>12</v>
      </c>
      <c r="O204" s="116"/>
      <c r="P204" s="114"/>
      <c r="Q204" s="114" t="s">
        <v>1033</v>
      </c>
      <c r="R204" s="114"/>
      <c r="S204" s="114" t="s">
        <v>677</v>
      </c>
      <c r="T204" s="114">
        <v>130</v>
      </c>
      <c r="U204" s="116">
        <v>241</v>
      </c>
      <c r="V204" s="155">
        <f t="shared" si="19"/>
        <v>185.5</v>
      </c>
      <c r="W204" s="155">
        <v>1.8</v>
      </c>
      <c r="X204" s="124">
        <f t="shared" si="20"/>
        <v>103.05555555555556</v>
      </c>
      <c r="Y204" s="114" t="s">
        <v>2269</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1765</v>
      </c>
      <c r="B205" s="114">
        <v>33754</v>
      </c>
      <c r="C205" s="114">
        <v>3</v>
      </c>
      <c r="D205" s="114"/>
      <c r="E205" s="114"/>
      <c r="F205" s="114">
        <v>34</v>
      </c>
      <c r="G205" s="115">
        <v>21</v>
      </c>
      <c r="H205" s="115">
        <v>8</v>
      </c>
      <c r="I205" s="846"/>
      <c r="J205" s="114">
        <v>49</v>
      </c>
      <c r="K205" s="116"/>
      <c r="L205" s="114">
        <v>30</v>
      </c>
      <c r="M205" s="116"/>
      <c r="N205" s="114">
        <v>12</v>
      </c>
      <c r="O205" s="116"/>
      <c r="P205" s="114"/>
      <c r="Q205" s="114" t="s">
        <v>1033</v>
      </c>
      <c r="R205" s="114"/>
      <c r="S205" s="114" t="s">
        <v>677</v>
      </c>
      <c r="T205" s="114">
        <v>148</v>
      </c>
      <c r="U205" s="116">
        <v>223</v>
      </c>
      <c r="V205" s="155">
        <f t="shared" si="19"/>
        <v>185.5</v>
      </c>
      <c r="W205" s="155">
        <v>1.8</v>
      </c>
      <c r="X205" s="124">
        <f t="shared" si="20"/>
        <v>103.05555555555556</v>
      </c>
      <c r="Y205" s="114" t="s">
        <v>2269</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1764</v>
      </c>
      <c r="B206" s="114">
        <v>33756</v>
      </c>
      <c r="C206" s="114">
        <v>3</v>
      </c>
      <c r="D206" s="114"/>
      <c r="E206" s="114"/>
      <c r="F206" s="114">
        <v>34</v>
      </c>
      <c r="G206" s="115">
        <v>21</v>
      </c>
      <c r="H206" s="115">
        <v>8</v>
      </c>
      <c r="I206" s="846"/>
      <c r="J206" s="114">
        <v>49</v>
      </c>
      <c r="K206" s="116"/>
      <c r="L206" s="114">
        <v>30</v>
      </c>
      <c r="M206" s="116"/>
      <c r="N206" s="114">
        <v>12</v>
      </c>
      <c r="O206" s="116"/>
      <c r="P206" s="114"/>
      <c r="Q206" s="114" t="s">
        <v>1033</v>
      </c>
      <c r="R206" s="114"/>
      <c r="S206" s="114" t="s">
        <v>677</v>
      </c>
      <c r="T206" s="114">
        <v>101</v>
      </c>
      <c r="U206" s="116">
        <v>188</v>
      </c>
      <c r="V206" s="155">
        <f t="shared" si="19"/>
        <v>144.5</v>
      </c>
      <c r="W206" s="155">
        <v>1.4</v>
      </c>
      <c r="X206" s="124">
        <f t="shared" si="20"/>
        <v>103.21428571428572</v>
      </c>
      <c r="Y206" s="114" t="s">
        <v>2269</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9"/>
        <v>150.5</v>
      </c>
      <c r="W207" s="155">
        <v>1.8</v>
      </c>
      <c r="X207" s="124">
        <f t="shared" si="20"/>
        <v>83.611111111111114</v>
      </c>
      <c r="Y207" s="114" t="s">
        <v>2269</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9"/>
        <v>93</v>
      </c>
      <c r="W208" s="155">
        <v>1.3</v>
      </c>
      <c r="X208" s="124">
        <f t="shared" si="20"/>
        <v>71.538461538461533</v>
      </c>
      <c r="Y208" s="115" t="s">
        <v>2269</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1033</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1376</v>
      </c>
      <c r="B212" s="838"/>
      <c r="C212" s="838"/>
      <c r="D212" s="742"/>
      <c r="E212" s="742"/>
      <c r="F212" s="742"/>
      <c r="G212" s="837"/>
      <c r="H212" s="837"/>
      <c r="I212" s="837"/>
      <c r="J212" s="742"/>
      <c r="K212" s="838"/>
      <c r="L212" s="742"/>
      <c r="M212" s="838"/>
      <c r="N212" s="742"/>
      <c r="O212" s="838"/>
      <c r="P212" s="742"/>
      <c r="Q212" s="742" t="s">
        <v>1033</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23">(U213+T213)/2</f>
        <v>143.5</v>
      </c>
      <c r="W213" s="155">
        <v>1.5</v>
      </c>
      <c r="X213" s="124">
        <f t="shared" ref="X213:X258" si="24">V213/W213</f>
        <v>95.666666666666671</v>
      </c>
      <c r="Y213" s="115" t="s">
        <v>1377</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23"/>
        <v>260.5</v>
      </c>
      <c r="W214" s="155">
        <v>2.6</v>
      </c>
      <c r="X214" s="124">
        <f t="shared" si="24"/>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23"/>
        <v>140.5</v>
      </c>
      <c r="W215" s="155">
        <v>1.4</v>
      </c>
      <c r="X215" s="124">
        <f t="shared" si="24"/>
        <v>100.35714285714286</v>
      </c>
      <c r="Y215" s="115" t="s">
        <v>1377</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23"/>
        <v>156</v>
      </c>
      <c r="W216" s="155">
        <v>1.6</v>
      </c>
      <c r="X216" s="124">
        <f t="shared" si="24"/>
        <v>97.5</v>
      </c>
      <c r="Y216" s="114" t="s">
        <v>1377</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23"/>
        <v>146</v>
      </c>
      <c r="W217" s="155">
        <v>1.6</v>
      </c>
      <c r="X217" s="124">
        <f t="shared" si="24"/>
        <v>91.25</v>
      </c>
      <c r="Y217" s="115" t="s">
        <v>1377</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23"/>
        <v>211</v>
      </c>
      <c r="W218" s="155">
        <v>2.6</v>
      </c>
      <c r="X218" s="124">
        <f t="shared" si="24"/>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2001</v>
      </c>
      <c r="B219" s="116">
        <v>35072</v>
      </c>
      <c r="C219" s="116">
        <v>5</v>
      </c>
      <c r="D219" s="114"/>
      <c r="E219" s="114"/>
      <c r="F219" s="114">
        <v>38</v>
      </c>
      <c r="G219" s="115">
        <v>22</v>
      </c>
      <c r="H219" s="115">
        <v>9</v>
      </c>
      <c r="I219" s="846"/>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2002</v>
      </c>
      <c r="B220" s="116">
        <v>35101</v>
      </c>
      <c r="C220" s="116">
        <v>5</v>
      </c>
      <c r="D220" s="114"/>
      <c r="E220" s="114"/>
      <c r="F220" s="114">
        <v>38</v>
      </c>
      <c r="G220" s="115">
        <v>22</v>
      </c>
      <c r="H220" s="115">
        <v>9</v>
      </c>
      <c r="I220" s="846"/>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23"/>
        <v>162</v>
      </c>
      <c r="W221" s="155">
        <v>1.5</v>
      </c>
      <c r="X221" s="124">
        <f t="shared" si="24"/>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23"/>
        <v>186.5</v>
      </c>
      <c r="W222" s="155">
        <v>2.6</v>
      </c>
      <c r="X222" s="124">
        <f t="shared" si="24"/>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23"/>
        <v>183.5</v>
      </c>
      <c r="W223" s="155">
        <v>2.2000000000000002</v>
      </c>
      <c r="X223" s="124">
        <f t="shared" si="24"/>
        <v>83.409090909090907</v>
      </c>
      <c r="Y223" s="115" t="s">
        <v>1377</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23"/>
        <v>135</v>
      </c>
      <c r="W224" s="155">
        <v>1.6</v>
      </c>
      <c r="X224" s="124">
        <f t="shared" si="24"/>
        <v>84.375</v>
      </c>
      <c r="Y224" s="114" t="s">
        <v>1377</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23"/>
        <v>136.5</v>
      </c>
      <c r="W225" s="155">
        <v>1.5</v>
      </c>
      <c r="X225" s="124">
        <f t="shared" si="24"/>
        <v>91</v>
      </c>
      <c r="Y225" s="115" t="s">
        <v>1377</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23"/>
        <v>237</v>
      </c>
      <c r="W226" s="155">
        <v>2.6</v>
      </c>
      <c r="X226" s="124">
        <f t="shared" si="24"/>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23"/>
        <v>129</v>
      </c>
      <c r="W227" s="155">
        <v>1.8</v>
      </c>
      <c r="X227" s="124">
        <f t="shared" si="24"/>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23"/>
        <v>186.5</v>
      </c>
      <c r="W228" s="155">
        <v>2.6</v>
      </c>
      <c r="X228" s="124">
        <f t="shared" si="24"/>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23"/>
        <v>197.5</v>
      </c>
      <c r="W229" s="155">
        <v>2.7</v>
      </c>
      <c r="X229" s="124">
        <f t="shared" si="24"/>
        <v>73.148148148148138</v>
      </c>
      <c r="Y229" s="115" t="s">
        <v>1377</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23"/>
        <v>248.5</v>
      </c>
      <c r="W230" s="155">
        <v>2.6</v>
      </c>
      <c r="X230" s="124">
        <f t="shared" si="24"/>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6">(U231+T231)/2</f>
        <v>107</v>
      </c>
      <c r="W231" s="155">
        <v>1.8</v>
      </c>
      <c r="X231" s="124">
        <f t="shared" ref="X231" si="27">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23"/>
        <v>129</v>
      </c>
      <c r="W232" s="155">
        <v>1.8</v>
      </c>
      <c r="X232" s="124">
        <f t="shared" si="24"/>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23"/>
        <v>186.5</v>
      </c>
      <c r="W233" s="155">
        <v>2.6</v>
      </c>
      <c r="X233" s="124">
        <f t="shared" si="24"/>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23"/>
        <v>146</v>
      </c>
      <c r="W234" s="155">
        <v>1.8</v>
      </c>
      <c r="X234" s="124">
        <f t="shared" si="24"/>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23"/>
        <v>233.5</v>
      </c>
      <c r="W235" s="155">
        <v>2.6</v>
      </c>
      <c r="X235" s="124">
        <f t="shared" si="24"/>
        <v>89.807692307692307</v>
      </c>
      <c r="Y235" s="115" t="s">
        <v>1377</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8">(U236+T236)/2</f>
        <v>100.5</v>
      </c>
      <c r="W236" s="155">
        <v>1.6</v>
      </c>
      <c r="X236" s="124">
        <f t="shared" ref="X236" si="29">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23"/>
        <v>100.5</v>
      </c>
      <c r="W237" s="155">
        <v>1.4</v>
      </c>
      <c r="X237" s="124">
        <f t="shared" si="24"/>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23"/>
        <v>140</v>
      </c>
      <c r="W238" s="155">
        <v>1.6</v>
      </c>
      <c r="X238" s="124">
        <f t="shared" si="24"/>
        <v>87.5</v>
      </c>
      <c r="Y238" s="115" t="s">
        <v>1377</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23"/>
        <v>186.5</v>
      </c>
      <c r="W239" s="155">
        <v>2.6</v>
      </c>
      <c r="X239" s="124">
        <f t="shared" si="24"/>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23"/>
        <v>100.5</v>
      </c>
      <c r="W240" s="155">
        <v>1.4</v>
      </c>
      <c r="X240" s="124">
        <f t="shared" si="24"/>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23"/>
        <v>146.5</v>
      </c>
      <c r="W241" s="155">
        <v>1.5</v>
      </c>
      <c r="X241" s="124">
        <f t="shared" si="24"/>
        <v>97.666666666666671</v>
      </c>
      <c r="Y241" s="115" t="s">
        <v>1377</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23"/>
        <v>254</v>
      </c>
      <c r="W242" s="155">
        <v>2.6</v>
      </c>
      <c r="X242" s="124">
        <f t="shared" si="24"/>
        <v>97.692307692307693</v>
      </c>
      <c r="Y242" s="115" t="s">
        <v>1377</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v>34214</v>
      </c>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23"/>
        <v>280.5</v>
      </c>
      <c r="W243" s="155">
        <v>2.6</v>
      </c>
      <c r="X243" s="124">
        <f t="shared" si="24"/>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23"/>
        <v>172</v>
      </c>
      <c r="W244" s="155">
        <v>2.4</v>
      </c>
      <c r="X244" s="124">
        <f t="shared" si="24"/>
        <v>71.666666666666671</v>
      </c>
      <c r="Y244" s="114" t="s">
        <v>1377</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23"/>
        <v>138</v>
      </c>
      <c r="W245" s="155">
        <v>1.5</v>
      </c>
      <c r="X245" s="124">
        <f t="shared" si="24"/>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23"/>
        <v>107.5</v>
      </c>
      <c r="W246" s="155">
        <v>1.5</v>
      </c>
      <c r="X246" s="124">
        <f t="shared" si="24"/>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23"/>
        <v>236.5</v>
      </c>
      <c r="W247" s="155">
        <v>2.7</v>
      </c>
      <c r="X247" s="124">
        <f t="shared" si="24"/>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23"/>
        <v>260.5</v>
      </c>
      <c r="W248" s="155">
        <v>2.7</v>
      </c>
      <c r="X248" s="124">
        <f t="shared" si="24"/>
        <v>96.481481481481481</v>
      </c>
      <c r="Y248" s="115" t="s">
        <v>1377</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23"/>
        <v>109.5</v>
      </c>
      <c r="W249" s="155">
        <v>1.5</v>
      </c>
      <c r="X249" s="124">
        <f t="shared" si="24"/>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23"/>
        <v>133.5</v>
      </c>
      <c r="W250" s="155">
        <v>1.6</v>
      </c>
      <c r="X250" s="124">
        <f t="shared" si="24"/>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23"/>
        <v>194</v>
      </c>
      <c r="W251" s="155">
        <v>2.7</v>
      </c>
      <c r="X251" s="124">
        <f t="shared" si="24"/>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23"/>
        <v>160.5</v>
      </c>
      <c r="W252" s="155">
        <v>1.6</v>
      </c>
      <c r="X252" s="124">
        <f t="shared" si="24"/>
        <v>100.3125</v>
      </c>
      <c r="Y252" s="115" t="s">
        <v>1377</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23"/>
        <v>102.5</v>
      </c>
      <c r="W253" s="155">
        <v>1.9</v>
      </c>
      <c r="X253" s="124">
        <f t="shared" si="24"/>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6"/>
      <c r="J254" s="114">
        <v>49</v>
      </c>
      <c r="K254" s="116"/>
      <c r="L254" s="114">
        <v>30</v>
      </c>
      <c r="M254" s="116"/>
      <c r="N254" s="114">
        <v>12</v>
      </c>
      <c r="O254" s="116"/>
      <c r="P254" s="114"/>
      <c r="Q254" s="114" t="s">
        <v>1033</v>
      </c>
      <c r="R254" s="114"/>
      <c r="S254" s="114" t="s">
        <v>677</v>
      </c>
      <c r="T254" s="114">
        <v>108</v>
      </c>
      <c r="U254" s="116">
        <v>201</v>
      </c>
      <c r="V254" s="155">
        <f t="shared" si="23"/>
        <v>154.5</v>
      </c>
      <c r="W254" s="155">
        <v>1.5</v>
      </c>
      <c r="X254" s="124">
        <f t="shared" si="24"/>
        <v>103</v>
      </c>
      <c r="Y254" s="114" t="s">
        <v>1377</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6"/>
      <c r="J255" s="114">
        <v>49</v>
      </c>
      <c r="K255" s="116"/>
      <c r="L255" s="114">
        <v>30</v>
      </c>
      <c r="M255" s="116"/>
      <c r="N255" s="114">
        <v>12</v>
      </c>
      <c r="O255" s="116"/>
      <c r="P255" s="114"/>
      <c r="Q255" s="114" t="s">
        <v>1033</v>
      </c>
      <c r="R255" s="114"/>
      <c r="S255" s="114" t="s">
        <v>677</v>
      </c>
      <c r="T255" s="114">
        <v>214</v>
      </c>
      <c r="U255" s="116">
        <v>322</v>
      </c>
      <c r="V255" s="155">
        <f t="shared" si="23"/>
        <v>268</v>
      </c>
      <c r="W255" s="155">
        <v>2.6</v>
      </c>
      <c r="X255" s="124">
        <f t="shared" si="24"/>
        <v>103.07692307692308</v>
      </c>
      <c r="Y255" s="114" t="s">
        <v>1377</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23"/>
        <v>211</v>
      </c>
      <c r="W256" s="155">
        <v>2.6</v>
      </c>
      <c r="X256" s="124">
        <f t="shared" si="24"/>
        <v>81.153846153846146</v>
      </c>
      <c r="Y256" s="115" t="s">
        <v>1377</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23"/>
        <v>153</v>
      </c>
      <c r="W257" s="155">
        <v>1.4</v>
      </c>
      <c r="X257" s="124">
        <f t="shared" si="24"/>
        <v>109.28571428571429</v>
      </c>
      <c r="Y257" s="115" t="s">
        <v>1377</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23"/>
        <v>354.5</v>
      </c>
      <c r="W258" s="155">
        <v>2.9</v>
      </c>
      <c r="X258" s="124">
        <f t="shared" si="24"/>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1033</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1033</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6"/>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6"/>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1033</v>
      </c>
      <c r="R277" s="114"/>
      <c r="S277" s="114" t="s">
        <v>677</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6"/>
      <c r="J278" s="114">
        <v>49</v>
      </c>
      <c r="K278" s="116"/>
      <c r="L278" s="114">
        <v>30</v>
      </c>
      <c r="M278" s="116"/>
      <c r="N278" s="114">
        <v>12</v>
      </c>
      <c r="O278" s="116"/>
      <c r="P278" s="114"/>
      <c r="Q278" s="114" t="s">
        <v>1033</v>
      </c>
      <c r="R278" s="114"/>
      <c r="S278" s="114" t="s">
        <v>677</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1033</v>
      </c>
      <c r="R279" s="114"/>
      <c r="S279" s="114" t="s">
        <v>691</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7">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1033</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910</v>
      </c>
      <c r="B283" s="838"/>
      <c r="C283" s="838"/>
      <c r="D283" s="742"/>
      <c r="E283" s="742"/>
      <c r="F283" s="742"/>
      <c r="G283" s="837"/>
      <c r="H283" s="837"/>
      <c r="I283" s="837"/>
      <c r="J283" s="742"/>
      <c r="K283" s="838"/>
      <c r="L283" s="742"/>
      <c r="M283" s="838"/>
      <c r="N283" s="742"/>
      <c r="O283" s="838"/>
      <c r="P283" s="742"/>
      <c r="Q283" s="742" t="s">
        <v>1033</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33">(U284+T284)/2</f>
        <v>129</v>
      </c>
      <c r="W284" s="155">
        <v>1.8</v>
      </c>
      <c r="X284" s="124">
        <f t="shared" ref="X284:X308" si="34">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29.316671505647875</v>
      </c>
      <c r="J285" s="114"/>
      <c r="K285" s="116"/>
      <c r="L285" s="114"/>
      <c r="M285" s="116"/>
      <c r="N285" s="114"/>
      <c r="O285" s="116"/>
      <c r="P285" s="114"/>
      <c r="Q285" s="114" t="s">
        <v>1045</v>
      </c>
      <c r="R285" s="114" t="s">
        <v>1465</v>
      </c>
      <c r="S285" s="114" t="s">
        <v>673</v>
      </c>
      <c r="T285" s="114">
        <v>73</v>
      </c>
      <c r="U285" s="116">
        <v>136</v>
      </c>
      <c r="V285" s="155">
        <f t="shared" si="33"/>
        <v>104.5</v>
      </c>
      <c r="W285" s="155">
        <v>1.5</v>
      </c>
      <c r="X285" s="124">
        <f t="shared" si="34"/>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33"/>
        <v>186.5</v>
      </c>
      <c r="W286" s="155">
        <v>2.6</v>
      </c>
      <c r="X286" s="124">
        <f t="shared" si="34"/>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6"/>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6"/>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1043</v>
      </c>
      <c r="R289" s="114" t="s">
        <v>1338</v>
      </c>
      <c r="S289" s="114" t="s">
        <v>672</v>
      </c>
      <c r="T289" s="114">
        <v>159</v>
      </c>
      <c r="U289" s="116">
        <v>296</v>
      </c>
      <c r="V289" s="155">
        <f t="shared" si="33"/>
        <v>227.5</v>
      </c>
      <c r="W289" s="155">
        <v>2.6</v>
      </c>
      <c r="X289" s="124">
        <f t="shared" si="34"/>
        <v>87.5</v>
      </c>
      <c r="Y289" s="114" t="s">
        <v>911</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6"/>
      <c r="J290" s="114"/>
      <c r="K290" s="116"/>
      <c r="L290" s="114">
        <v>21</v>
      </c>
      <c r="M290" s="116"/>
      <c r="N290" s="114">
        <v>10</v>
      </c>
      <c r="O290" s="116"/>
      <c r="P290" s="114"/>
      <c r="Q290" s="114" t="s">
        <v>1033</v>
      </c>
      <c r="R290" s="114"/>
      <c r="S290" s="114" t="s">
        <v>677</v>
      </c>
      <c r="T290" s="114">
        <v>95</v>
      </c>
      <c r="U290" s="116">
        <v>178</v>
      </c>
      <c r="V290" s="155">
        <f t="shared" si="33"/>
        <v>136.5</v>
      </c>
      <c r="W290" s="155">
        <v>1.5</v>
      </c>
      <c r="X290" s="124">
        <f t="shared" si="34"/>
        <v>91</v>
      </c>
      <c r="Y290" s="114" t="s">
        <v>911</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1033</v>
      </c>
      <c r="R291" s="114"/>
      <c r="S291" s="114" t="s">
        <v>677</v>
      </c>
      <c r="T291" s="114">
        <v>189</v>
      </c>
      <c r="U291" s="116">
        <v>285</v>
      </c>
      <c r="V291" s="155">
        <f t="shared" si="33"/>
        <v>237</v>
      </c>
      <c r="W291" s="155">
        <v>2.6</v>
      </c>
      <c r="X291" s="124">
        <f t="shared" si="34"/>
        <v>91.153846153846146</v>
      </c>
      <c r="Y291" s="114" t="s">
        <v>911</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6"/>
      <c r="J292" s="114"/>
      <c r="K292" s="116"/>
      <c r="L292" s="114">
        <v>18</v>
      </c>
      <c r="M292" s="116"/>
      <c r="N292" s="114">
        <v>9</v>
      </c>
      <c r="O292" s="116"/>
      <c r="P292" s="114"/>
      <c r="Q292" s="114" t="s">
        <v>1033</v>
      </c>
      <c r="R292" s="114"/>
      <c r="S292" s="114" t="s">
        <v>677</v>
      </c>
      <c r="T292" s="114">
        <v>103</v>
      </c>
      <c r="U292" s="116">
        <v>155</v>
      </c>
      <c r="V292" s="155">
        <f t="shared" si="33"/>
        <v>129</v>
      </c>
      <c r="W292" s="155">
        <v>1.8</v>
      </c>
      <c r="X292" s="124">
        <f t="shared" si="34"/>
        <v>71.666666666666671</v>
      </c>
      <c r="Y292" s="114" t="s">
        <v>911</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6"/>
      <c r="J293" s="114"/>
      <c r="K293" s="116"/>
      <c r="L293" s="114">
        <v>18</v>
      </c>
      <c r="M293" s="116"/>
      <c r="N293" s="114">
        <v>9</v>
      </c>
      <c r="O293" s="116"/>
      <c r="P293" s="114"/>
      <c r="Q293" s="114" t="s">
        <v>1033</v>
      </c>
      <c r="R293" s="114"/>
      <c r="S293" s="114" t="s">
        <v>677</v>
      </c>
      <c r="T293" s="114">
        <v>149</v>
      </c>
      <c r="U293" s="116">
        <v>224</v>
      </c>
      <c r="V293" s="155">
        <f t="shared" si="33"/>
        <v>186.5</v>
      </c>
      <c r="W293" s="155">
        <v>2.6</v>
      </c>
      <c r="X293" s="124">
        <f t="shared" si="34"/>
        <v>71.730769230769226</v>
      </c>
      <c r="Y293" s="114" t="s">
        <v>911</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6"/>
      <c r="J294" s="114"/>
      <c r="K294" s="116"/>
      <c r="L294" s="114">
        <v>18</v>
      </c>
      <c r="M294" s="116"/>
      <c r="N294" s="114">
        <v>9</v>
      </c>
      <c r="O294" s="116"/>
      <c r="P294" s="114"/>
      <c r="Q294" s="114" t="s">
        <v>1033</v>
      </c>
      <c r="R294" s="114"/>
      <c r="S294" s="114" t="s">
        <v>677</v>
      </c>
      <c r="T294" s="114">
        <v>103</v>
      </c>
      <c r="U294" s="116">
        <v>155</v>
      </c>
      <c r="V294" s="155">
        <f t="shared" si="33"/>
        <v>129</v>
      </c>
      <c r="W294" s="155">
        <v>1.8</v>
      </c>
      <c r="X294" s="124">
        <f t="shared" si="34"/>
        <v>71.666666666666671</v>
      </c>
      <c r="Y294" s="114" t="s">
        <v>911</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6"/>
      <c r="J295" s="114"/>
      <c r="K295" s="116"/>
      <c r="L295" s="114">
        <v>18</v>
      </c>
      <c r="M295" s="116"/>
      <c r="N295" s="114">
        <v>9</v>
      </c>
      <c r="O295" s="116"/>
      <c r="P295" s="114"/>
      <c r="Q295" s="114" t="s">
        <v>1033</v>
      </c>
      <c r="R295" s="114"/>
      <c r="S295" s="114" t="s">
        <v>677</v>
      </c>
      <c r="T295" s="114">
        <v>149</v>
      </c>
      <c r="U295" s="116">
        <v>224</v>
      </c>
      <c r="V295" s="155">
        <f t="shared" si="33"/>
        <v>186.5</v>
      </c>
      <c r="W295" s="155">
        <v>2.6</v>
      </c>
      <c r="X295" s="124">
        <f t="shared" si="34"/>
        <v>71.730769230769226</v>
      </c>
      <c r="Y295" s="114" t="s">
        <v>911</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33"/>
        <v>146.5</v>
      </c>
      <c r="W296" s="155">
        <v>1.5</v>
      </c>
      <c r="X296" s="124">
        <f t="shared" si="34"/>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33"/>
        <v>253.5</v>
      </c>
      <c r="W297" s="155">
        <v>2.6</v>
      </c>
      <c r="X297" s="124">
        <f t="shared" si="34"/>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33"/>
        <v>270.5</v>
      </c>
      <c r="W298" s="155">
        <v>2.7</v>
      </c>
      <c r="X298" s="124">
        <f t="shared" si="34"/>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1033</v>
      </c>
      <c r="R299" s="114"/>
      <c r="S299" s="114" t="s">
        <v>685</v>
      </c>
      <c r="T299" s="114">
        <v>140</v>
      </c>
      <c r="U299" s="116">
        <v>261</v>
      </c>
      <c r="V299" s="155">
        <f t="shared" si="33"/>
        <v>200.5</v>
      </c>
      <c r="W299" s="155">
        <v>2.4</v>
      </c>
      <c r="X299" s="124">
        <f t="shared" si="34"/>
        <v>83.541666666666671</v>
      </c>
      <c r="Y299" s="114" t="s">
        <v>911</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33"/>
        <v>150.5</v>
      </c>
      <c r="W300" s="155">
        <v>1.5</v>
      </c>
      <c r="X300" s="124">
        <f t="shared" si="34"/>
        <v>100.33333333333333</v>
      </c>
      <c r="Y300" s="114" t="s">
        <v>911</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6"/>
      <c r="J301" s="114"/>
      <c r="K301" s="116"/>
      <c r="L301" s="114"/>
      <c r="M301" s="116"/>
      <c r="N301" s="114"/>
      <c r="O301" s="116"/>
      <c r="P301" s="114"/>
      <c r="Q301" s="114" t="s">
        <v>1033</v>
      </c>
      <c r="R301" s="114"/>
      <c r="S301" s="114" t="s">
        <v>683</v>
      </c>
      <c r="T301" s="114">
        <v>196</v>
      </c>
      <c r="U301" s="116">
        <v>365</v>
      </c>
      <c r="V301" s="155">
        <f t="shared" si="33"/>
        <v>280.5</v>
      </c>
      <c r="W301" s="155">
        <v>2.8</v>
      </c>
      <c r="X301" s="124">
        <f t="shared" si="34"/>
        <v>100.17857142857143</v>
      </c>
      <c r="Y301" s="114" t="s">
        <v>911</v>
      </c>
      <c r="Z301" s="114"/>
      <c r="AA301" s="114"/>
      <c r="AB301" s="114"/>
      <c r="AC301" s="10" t="s">
        <v>616</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6"/>
      <c r="J302" s="114"/>
      <c r="K302" s="116"/>
      <c r="L302" s="114">
        <v>21</v>
      </c>
      <c r="M302" s="116"/>
      <c r="N302" s="114"/>
      <c r="O302" s="116"/>
      <c r="P302" s="114"/>
      <c r="Q302" s="114" t="s">
        <v>1033</v>
      </c>
      <c r="R302" s="114"/>
      <c r="S302" s="114" t="s">
        <v>675</v>
      </c>
      <c r="T302" s="114">
        <v>125</v>
      </c>
      <c r="U302" s="116">
        <v>233</v>
      </c>
      <c r="V302" s="155">
        <f t="shared" si="33"/>
        <v>179</v>
      </c>
      <c r="W302" s="155">
        <v>2.5</v>
      </c>
      <c r="X302" s="124">
        <f t="shared" si="34"/>
        <v>71.599999999999994</v>
      </c>
      <c r="Y302" s="114" t="s">
        <v>911</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6"/>
      <c r="J303" s="114"/>
      <c r="K303" s="116"/>
      <c r="L303" s="114">
        <v>21</v>
      </c>
      <c r="M303" s="116"/>
      <c r="N303" s="114"/>
      <c r="O303" s="116"/>
      <c r="P303" s="114"/>
      <c r="Q303" s="114" t="s">
        <v>1033</v>
      </c>
      <c r="R303" s="114"/>
      <c r="S303" s="114" t="s">
        <v>675</v>
      </c>
      <c r="T303" s="114">
        <v>125</v>
      </c>
      <c r="U303" s="116">
        <v>233</v>
      </c>
      <c r="V303" s="155">
        <f t="shared" si="33"/>
        <v>179</v>
      </c>
      <c r="W303" s="155">
        <v>2.5</v>
      </c>
      <c r="X303" s="124">
        <f t="shared" si="34"/>
        <v>71.599999999999994</v>
      </c>
      <c r="Y303" s="114" t="s">
        <v>911</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6"/>
      <c r="J304" s="114"/>
      <c r="K304" s="116"/>
      <c r="L304" s="114">
        <v>21</v>
      </c>
      <c r="M304" s="116"/>
      <c r="N304" s="114"/>
      <c r="O304" s="116">
        <v>14</v>
      </c>
      <c r="P304" s="114"/>
      <c r="Q304" s="114" t="s">
        <v>1033</v>
      </c>
      <c r="R304" s="114"/>
      <c r="S304" s="114" t="s">
        <v>675</v>
      </c>
      <c r="T304" s="114">
        <v>125</v>
      </c>
      <c r="U304" s="116">
        <v>233</v>
      </c>
      <c r="V304" s="155">
        <f t="shared" si="33"/>
        <v>179</v>
      </c>
      <c r="W304" s="155">
        <v>2.5</v>
      </c>
      <c r="X304" s="124">
        <f t="shared" si="34"/>
        <v>71.599999999999994</v>
      </c>
      <c r="Y304" s="114" t="s">
        <v>911</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6"/>
      <c r="J305" s="114"/>
      <c r="K305" s="116"/>
      <c r="L305" s="114">
        <v>21</v>
      </c>
      <c r="M305" s="116"/>
      <c r="N305" s="114"/>
      <c r="O305" s="116"/>
      <c r="P305" s="114"/>
      <c r="Q305" s="114" t="s">
        <v>1033</v>
      </c>
      <c r="R305" s="114"/>
      <c r="S305" s="114" t="s">
        <v>675</v>
      </c>
      <c r="T305" s="114">
        <v>125</v>
      </c>
      <c r="U305" s="116">
        <v>233</v>
      </c>
      <c r="V305" s="155">
        <f t="shared" si="33"/>
        <v>179</v>
      </c>
      <c r="W305" s="155">
        <v>2.5</v>
      </c>
      <c r="X305" s="124">
        <f t="shared" si="34"/>
        <v>71.599999999999994</v>
      </c>
      <c r="Y305" s="114" t="s">
        <v>911</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1033</v>
      </c>
      <c r="R306" s="114"/>
      <c r="S306" s="114" t="s">
        <v>673</v>
      </c>
      <c r="T306" s="114">
        <v>100</v>
      </c>
      <c r="U306" s="116">
        <v>187</v>
      </c>
      <c r="V306" s="155">
        <f t="shared" si="33"/>
        <v>143.5</v>
      </c>
      <c r="W306" s="155">
        <v>2</v>
      </c>
      <c r="X306" s="124">
        <f t="shared" si="34"/>
        <v>71.75</v>
      </c>
      <c r="Y306" s="114" t="s">
        <v>911</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1033</v>
      </c>
      <c r="R307" s="114"/>
      <c r="S307" s="114" t="s">
        <v>691</v>
      </c>
      <c r="T307" s="114">
        <v>90</v>
      </c>
      <c r="U307" s="116">
        <v>168</v>
      </c>
      <c r="V307" s="155">
        <f t="shared" si="33"/>
        <v>129</v>
      </c>
      <c r="W307" s="155">
        <v>1.8</v>
      </c>
      <c r="X307" s="124">
        <f t="shared" si="34"/>
        <v>71.666666666666671</v>
      </c>
      <c r="Y307" s="114" t="s">
        <v>911</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6"/>
      <c r="J308" s="114">
        <v>49</v>
      </c>
      <c r="K308" s="116"/>
      <c r="L308" s="114">
        <v>30</v>
      </c>
      <c r="M308" s="116"/>
      <c r="N308" s="114">
        <v>12</v>
      </c>
      <c r="O308" s="116"/>
      <c r="P308" s="114"/>
      <c r="Q308" s="114" t="s">
        <v>1033</v>
      </c>
      <c r="R308" s="114"/>
      <c r="S308" s="114" t="s">
        <v>677</v>
      </c>
      <c r="T308" s="114">
        <v>108</v>
      </c>
      <c r="U308" s="116">
        <v>201</v>
      </c>
      <c r="V308" s="155">
        <f t="shared" si="33"/>
        <v>154.5</v>
      </c>
      <c r="W308" s="155">
        <v>1.5</v>
      </c>
      <c r="X308" s="124">
        <f t="shared" si="34"/>
        <v>103</v>
      </c>
      <c r="Y308" s="114" t="s">
        <v>911</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6"/>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608</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3130</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3131</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3132</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3133</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3134</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zoomScaleNormal="100" workbookViewId="0">
      <selection activeCell="U44" sqref="U44"/>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2798</v>
      </c>
      <c r="C1" s="800" t="s">
        <v>1214</v>
      </c>
      <c r="D1" s="800" t="s">
        <v>1215</v>
      </c>
      <c r="E1" s="800" t="s">
        <v>1216</v>
      </c>
      <c r="F1" s="800" t="s">
        <v>2140</v>
      </c>
      <c r="G1" s="800" t="s">
        <v>2139</v>
      </c>
      <c r="H1" s="800" t="s">
        <v>768</v>
      </c>
      <c r="I1" s="800" t="s">
        <v>1219</v>
      </c>
      <c r="J1" s="800" t="s">
        <v>771</v>
      </c>
      <c r="K1" s="800" t="s">
        <v>1222</v>
      </c>
      <c r="L1" s="800" t="s">
        <v>1223</v>
      </c>
      <c r="M1" s="800" t="s">
        <v>1705</v>
      </c>
      <c r="N1" s="800" t="s">
        <v>1934</v>
      </c>
      <c r="O1" s="800" t="s">
        <v>1225</v>
      </c>
      <c r="P1" s="800" t="s">
        <v>1226</v>
      </c>
      <c r="Q1" s="800" t="s">
        <v>147</v>
      </c>
      <c r="R1" s="800">
        <v>0</v>
      </c>
      <c r="S1" s="801"/>
      <c r="T1" s="802"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8"/>
      <c r="L2" s="768"/>
      <c r="M2" s="785"/>
      <c r="N2" s="786"/>
      <c r="O2" s="114" t="s">
        <v>1974</v>
      </c>
      <c r="P2" s="124"/>
      <c r="Q2" s="792"/>
      <c r="R2" s="791"/>
      <c r="S2" s="750"/>
      <c r="T2" s="713"/>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8"/>
      <c r="L3" s="768"/>
      <c r="M3" s="785"/>
      <c r="N3" s="786">
        <v>2564</v>
      </c>
      <c r="O3" s="114" t="s">
        <v>1974</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34.141769280403672</v>
      </c>
      <c r="D4" s="114"/>
      <c r="E4" s="114"/>
      <c r="F4" s="115"/>
      <c r="G4" s="115"/>
      <c r="H4" s="114"/>
      <c r="I4" s="114"/>
      <c r="J4" s="116"/>
      <c r="K4" s="768"/>
      <c r="L4" s="768"/>
      <c r="M4" s="785"/>
      <c r="N4" s="786">
        <v>1900</v>
      </c>
      <c r="O4" s="114" t="s">
        <v>1974</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8"/>
      <c r="L5" s="768"/>
      <c r="M5" s="785"/>
      <c r="N5" s="786">
        <v>912</v>
      </c>
      <c r="O5" s="114" t="s">
        <v>1974</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1279</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477.98476992565134</v>
      </c>
      <c r="J6" s="116"/>
      <c r="K6" s="768"/>
      <c r="L6" s="768"/>
      <c r="M6" s="785"/>
      <c r="N6" s="786">
        <v>3225</v>
      </c>
      <c r="O6" s="114" t="s">
        <v>1974</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8"/>
      <c r="L7" s="768"/>
      <c r="M7" s="785"/>
      <c r="N7" s="786">
        <v>803</v>
      </c>
      <c r="O7" s="114" t="s">
        <v>1974</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8"/>
      <c r="L8" s="768"/>
      <c r="M8" s="785"/>
      <c r="N8" s="786">
        <v>3222</v>
      </c>
      <c r="O8" s="114" t="s">
        <v>1974</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8"/>
      <c r="L9" s="768"/>
      <c r="M9" s="785"/>
      <c r="N9" s="786">
        <v>1898</v>
      </c>
      <c r="O9" s="114" t="s">
        <v>1974</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8">
        <v>7</v>
      </c>
      <c r="L10" s="768">
        <v>7</v>
      </c>
      <c r="M10" s="785">
        <v>7</v>
      </c>
      <c r="N10" s="786">
        <v>963</v>
      </c>
      <c r="O10" s="114" t="s">
        <v>1974</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1229</v>
      </c>
      <c r="B11" s="114">
        <v>1</v>
      </c>
      <c r="C11" s="21"/>
      <c r="D11" s="789">
        <f>120*enMnMHup</f>
        <v>68.283538560807344</v>
      </c>
      <c r="E11" s="21"/>
      <c r="F11" s="21"/>
      <c r="G11" s="21"/>
      <c r="H11" s="21"/>
      <c r="I11" s="21"/>
      <c r="J11" s="789">
        <f>2*hasterate*enMnMHup</f>
        <v>17.946314621750645</v>
      </c>
      <c r="K11" s="768"/>
      <c r="L11" s="768"/>
      <c r="M11" s="768"/>
      <c r="N11" s="786">
        <v>2673</v>
      </c>
      <c r="O11" s="114" t="s">
        <v>1974</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2842</v>
      </c>
      <c r="B12" s="114">
        <v>1</v>
      </c>
      <c r="C12" s="21"/>
      <c r="D12" s="789"/>
      <c r="E12" s="21"/>
      <c r="F12" s="21"/>
      <c r="G12" s="21"/>
      <c r="H12" s="21"/>
      <c r="I12" s="21"/>
      <c r="J12" s="789"/>
      <c r="K12" s="768">
        <v>5</v>
      </c>
      <c r="L12" s="768">
        <v>5</v>
      </c>
      <c r="M12" s="768">
        <v>5</v>
      </c>
      <c r="N12" s="786">
        <v>1897</v>
      </c>
      <c r="O12" s="114" t="s">
        <v>1974</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3107</v>
      </c>
      <c r="W13" s="48"/>
      <c r="X13" s="48"/>
      <c r="Y13" s="48"/>
      <c r="Z13" s="48"/>
      <c r="AA13" s="6"/>
      <c r="AB13" s="795" t="s">
        <v>1641</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1288</v>
      </c>
      <c r="W14" s="48"/>
      <c r="X14" s="48"/>
      <c r="Y14" s="6"/>
      <c r="Z14" s="6"/>
      <c r="AA14" s="48"/>
      <c r="AB14" s="795" t="s">
        <v>1642</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3108</v>
      </c>
      <c r="W15" s="145">
        <f>bMHthit</f>
        <v>0.97956097560975608</v>
      </c>
      <c r="X15" s="145"/>
      <c r="Y15" s="48"/>
      <c r="Z15" s="149"/>
      <c r="AA15" s="6"/>
      <c r="AB15" s="795" t="s">
        <v>1643</v>
      </c>
      <c r="AC15" s="798">
        <f>$AB$2*($AA$2+mpsn)</f>
        <v>0.24899999999999997</v>
      </c>
      <c r="AD15" s="798"/>
      <c r="AE15" s="6"/>
      <c r="AF15" s="6"/>
      <c r="AG15" s="6"/>
    </row>
    <row r="16" spans="1:39" ht="11.25" customHeight="1" thickBot="1">
      <c r="A16" s="799" t="s">
        <v>1645</v>
      </c>
      <c r="B16" s="800" t="s">
        <v>2798</v>
      </c>
      <c r="C16" s="800" t="s">
        <v>1214</v>
      </c>
      <c r="D16" s="800" t="s">
        <v>1215</v>
      </c>
      <c r="E16" s="800" t="s">
        <v>1216</v>
      </c>
      <c r="F16" s="800" t="s">
        <v>2140</v>
      </c>
      <c r="G16" s="800" t="s">
        <v>2139</v>
      </c>
      <c r="H16" s="800" t="s">
        <v>768</v>
      </c>
      <c r="I16" s="800" t="s">
        <v>1219</v>
      </c>
      <c r="J16" s="800" t="s">
        <v>1017</v>
      </c>
      <c r="K16" s="800" t="s">
        <v>1222</v>
      </c>
      <c r="L16" s="800" t="s">
        <v>1223</v>
      </c>
      <c r="M16" s="800" t="s">
        <v>1705</v>
      </c>
      <c r="N16" s="800" t="s">
        <v>146</v>
      </c>
      <c r="O16" s="800" t="s">
        <v>1225</v>
      </c>
      <c r="P16" s="800" t="s">
        <v>1226</v>
      </c>
      <c r="Q16" s="800" t="s">
        <v>147</v>
      </c>
      <c r="R16" s="800">
        <v>0</v>
      </c>
      <c r="S16" s="801"/>
      <c r="T16" s="802" t="s">
        <v>1689</v>
      </c>
      <c r="U16" s="124"/>
      <c r="V16" s="6" t="s">
        <v>1188</v>
      </c>
      <c r="W16" s="145">
        <f>bMHcrit</f>
        <v>0.21803272356810921</v>
      </c>
      <c r="X16" s="145"/>
      <c r="Y16" s="48"/>
      <c r="Z16" s="48"/>
      <c r="AA16" s="48"/>
      <c r="AB16" s="795" t="s">
        <v>1644</v>
      </c>
      <c r="AC16" s="796">
        <f>IF(AC13*AC15&gt;0,AC13*AC15,1)</f>
        <v>3.3885270245043211</v>
      </c>
      <c r="AD16" s="796"/>
      <c r="AE16" s="6"/>
      <c r="AF16" s="6"/>
      <c r="AG16" s="6"/>
    </row>
    <row r="17" spans="1:39" ht="11.25" customHeight="1">
      <c r="A17" s="10" t="s">
        <v>2207</v>
      </c>
      <c r="B17" s="114"/>
      <c r="C17" s="114"/>
      <c r="D17" s="114"/>
      <c r="E17" s="114"/>
      <c r="F17" s="115"/>
      <c r="G17" s="115"/>
      <c r="H17" s="114"/>
      <c r="I17" s="114"/>
      <c r="J17" s="116"/>
      <c r="K17" s="768"/>
      <c r="L17" s="768"/>
      <c r="M17" s="785"/>
      <c r="N17" s="786"/>
      <c r="O17" s="114" t="s">
        <v>1974</v>
      </c>
      <c r="P17" s="124"/>
      <c r="Q17" s="792"/>
      <c r="R17" s="791"/>
      <c r="S17" s="748"/>
      <c r="T17" s="712"/>
      <c r="U17" s="124"/>
      <c r="V17" s="6" t="s">
        <v>1186</v>
      </c>
      <c r="W17" s="145">
        <f>bMHhit</f>
        <v>0.52152825204164688</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8">
        <v>12</v>
      </c>
      <c r="L18" s="768">
        <v>12</v>
      </c>
      <c r="M18" s="785">
        <v>12</v>
      </c>
      <c r="N18" s="786"/>
      <c r="O18" s="114" t="s">
        <v>1974</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8"/>
      <c r="L19" s="768"/>
      <c r="M19" s="785"/>
      <c r="N19" s="786"/>
      <c r="O19" s="114" t="s">
        <v>1974</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1974</v>
      </c>
      <c r="P20" s="124"/>
      <c r="Q20" s="793"/>
      <c r="R20" s="116">
        <f>IF(OR(IF(includep1,$B20&lt;=1), IF(includep2,$B20&lt;=2), IF(includep3,$B20&lt;=3), IF(includep4,$B20&lt;=4), IF(includep5,$B20&lt;=5)),MAX($R$16:R19)+1,"")</f>
        <v>3</v>
      </c>
      <c r="S20" s="750">
        <v>3</v>
      </c>
      <c r="T20" s="713" t="str">
        <f t="shared" si="1"/>
        <v>Consecrated Sharpening Stone</v>
      </c>
      <c r="U20" s="124"/>
      <c r="V20" s="48" t="s">
        <v>1265</v>
      </c>
      <c r="W20" s="1346">
        <f>bfWFea</f>
        <v>0.15546286056533143</v>
      </c>
      <c r="X20" s="1346">
        <f>SUM('Damage Calc'!F5:F7)*bfWFea</f>
        <v>0.1799805356381228</v>
      </c>
      <c r="Y20" s="1346">
        <f>instsec*bfWFea</f>
        <v>4.8202592154695446E-2</v>
      </c>
      <c r="Z20" s="48" t="s">
        <v>95</v>
      </c>
      <c r="AA20" s="48"/>
      <c r="AB20" s="148" t="s">
        <v>1652</v>
      </c>
      <c r="AC20" s="6">
        <f>12/AC16</f>
        <v>3.5413617519415768</v>
      </c>
      <c r="AD20" s="48">
        <v>1</v>
      </c>
      <c r="AE20" s="6">
        <v>0</v>
      </c>
      <c r="AF20" s="6">
        <v>0</v>
      </c>
      <c r="AG20" s="6">
        <v>0</v>
      </c>
    </row>
    <row r="21" spans="1:39" ht="11.25" customHeight="1">
      <c r="A21" s="10" t="s">
        <v>2206</v>
      </c>
      <c r="B21" s="114">
        <v>1</v>
      </c>
      <c r="C21" s="114"/>
      <c r="D21" s="114"/>
      <c r="E21" s="114"/>
      <c r="F21" s="115"/>
      <c r="G21" s="115"/>
      <c r="H21" s="114"/>
      <c r="I21" s="114"/>
      <c r="J21" s="116"/>
      <c r="K21" s="768"/>
      <c r="L21" s="768"/>
      <c r="M21" s="785"/>
      <c r="N21" s="786"/>
      <c r="O21" s="114" t="s">
        <v>1974</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3111</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1274</v>
      </c>
      <c r="AC21" s="6">
        <f>12/(1+AC16/(1-EXP(-AC16)))</f>
        <v>2.6625753332832076</v>
      </c>
      <c r="AD21" s="48">
        <f>1-EXP(-AC13*AC15)</f>
        <v>0.96624163445927125</v>
      </c>
      <c r="AE21" s="6">
        <v>12</v>
      </c>
      <c r="AF21" s="6">
        <f>AD20-AD21</f>
        <v>3.3758365540728752E-2</v>
      </c>
      <c r="AG21" s="6">
        <v>1</v>
      </c>
    </row>
    <row r="22" spans="1:39" ht="11.25" customHeight="1">
      <c r="A22" s="10" t="s">
        <v>2841</v>
      </c>
      <c r="B22" s="114">
        <v>1</v>
      </c>
      <c r="C22" s="114"/>
      <c r="D22" s="114"/>
      <c r="E22" s="114"/>
      <c r="F22" s="115"/>
      <c r="G22" s="115"/>
      <c r="H22" s="114"/>
      <c r="I22" s="114"/>
      <c r="J22" s="116"/>
      <c r="K22" s="768">
        <v>8</v>
      </c>
      <c r="L22" s="768">
        <v>8</v>
      </c>
      <c r="M22" s="785">
        <v>8</v>
      </c>
      <c r="N22" s="786"/>
      <c r="O22" s="114" t="s">
        <v>1974</v>
      </c>
      <c r="P22" s="124"/>
      <c r="Q22" s="793"/>
      <c r="R22" s="116">
        <f>IF(OR(IF(includep1,$B22&lt;=1), IF(includep2,$B22&lt;=2), IF(includep3,$B22&lt;=3), IF(includep4,$B22&lt;=4), IF(includep5,$B22&lt;=5)),MAX($R$16:R21)+1,"")</f>
        <v>5</v>
      </c>
      <c r="S22" s="750">
        <v>5</v>
      </c>
      <c r="T22" s="713" t="str">
        <f t="shared" si="1"/>
        <v>Dense Sharpening Stone</v>
      </c>
      <c r="U22" s="124"/>
      <c r="V22" s="145" t="s">
        <v>2253</v>
      </c>
      <c r="W22" s="1346">
        <f>W21*W20*armor*bGlobDam+X21*X20*armor*bGlobDam+Y21*Y20*armor*bGlobDam</f>
        <v>27.42962575839146</v>
      </c>
      <c r="X22" s="48" t="s">
        <v>3109</v>
      </c>
      <c r="Y22" s="48"/>
      <c r="Z22" s="48"/>
      <c r="AA22" s="48"/>
      <c r="AB22" s="131" t="s">
        <v>1277</v>
      </c>
      <c r="AC22" s="6">
        <f>12/(1+AC16/(1-EXP(-AC16)))</f>
        <v>2.6625753332832076</v>
      </c>
      <c r="AD22" s="48">
        <f>(1-EXP(-AC13*AC15))^2</f>
        <v>0.93362289616252392</v>
      </c>
      <c r="AE22" s="6">
        <v>12</v>
      </c>
      <c r="AF22" s="6">
        <f>AD21-AD22</f>
        <v>3.2618738296747329E-2</v>
      </c>
      <c r="AG22" s="6">
        <v>2</v>
      </c>
    </row>
    <row r="23" spans="1:39" ht="11.25" customHeight="1">
      <c r="A23" s="10" t="s">
        <v>1281</v>
      </c>
      <c r="B23" s="114">
        <v>1</v>
      </c>
      <c r="C23" s="114"/>
      <c r="D23" s="114"/>
      <c r="E23" s="114"/>
      <c r="F23" s="115">
        <v>28</v>
      </c>
      <c r="G23" s="115"/>
      <c r="H23" s="114"/>
      <c r="I23" s="114"/>
      <c r="J23" s="116"/>
      <c r="K23" s="768"/>
      <c r="L23" s="768"/>
      <c r="M23" s="785"/>
      <c r="N23" s="786"/>
      <c r="O23" s="114" t="s">
        <v>1974</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1280</v>
      </c>
      <c r="AC23" s="6">
        <f>12/(1+AC16/(1-EXP(-AC16)))</f>
        <v>2.6625753332832076</v>
      </c>
      <c r="AD23" s="48">
        <f>(1-EXP(-AC13*AC15))^3</f>
        <v>0.90210531315667564</v>
      </c>
      <c r="AE23" s="6">
        <v>12</v>
      </c>
      <c r="AF23" s="6">
        <f>AD22-AD23</f>
        <v>3.1517583005848282E-2</v>
      </c>
      <c r="AG23" s="6">
        <v>3</v>
      </c>
    </row>
    <row r="24" spans="1:39" ht="11.25" customHeight="1">
      <c r="A24" s="10" t="s">
        <v>1275</v>
      </c>
      <c r="B24" s="114">
        <v>1</v>
      </c>
      <c r="C24" s="114"/>
      <c r="D24" s="114"/>
      <c r="E24" s="114"/>
      <c r="F24" s="115"/>
      <c r="G24" s="115"/>
      <c r="H24" s="114"/>
      <c r="I24" s="114"/>
      <c r="J24" s="116"/>
      <c r="K24" s="768">
        <v>12</v>
      </c>
      <c r="L24" s="768">
        <v>12</v>
      </c>
      <c r="M24" s="785">
        <v>12</v>
      </c>
      <c r="N24" s="786"/>
      <c r="O24" s="114" t="s">
        <v>1974</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1282</v>
      </c>
      <c r="AC24" s="6">
        <f>12/(1+AC16/(1-EXP(-AC16)))</f>
        <v>2.6625753332832076</v>
      </c>
      <c r="AD24" s="48">
        <f>(1-EXP(-AC13*AC15))^4</f>
        <v>0.87165171223889892</v>
      </c>
      <c r="AE24" s="6">
        <v>12</v>
      </c>
      <c r="AF24" s="6">
        <f>AD23-AD24</f>
        <v>3.0453600917776713E-2</v>
      </c>
      <c r="AG24" s="6">
        <v>4</v>
      </c>
    </row>
    <row r="25" spans="1:39" ht="11.25" customHeight="1">
      <c r="A25" s="10" t="s">
        <v>1278</v>
      </c>
      <c r="B25" s="114">
        <v>1</v>
      </c>
      <c r="C25" s="114"/>
      <c r="D25" s="114"/>
      <c r="E25" s="114"/>
      <c r="F25" s="115"/>
      <c r="G25" s="115"/>
      <c r="H25" s="114"/>
      <c r="I25" s="114"/>
      <c r="J25" s="116"/>
      <c r="K25" s="768"/>
      <c r="L25" s="768"/>
      <c r="M25" s="785"/>
      <c r="N25" s="786"/>
      <c r="O25" s="114" t="s">
        <v>1974</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3110</v>
      </c>
      <c r="W25" s="1347">
        <f>14.924*(1+'Gear &amp; Buffs'!C111*0.06)*IF(CoE,1.25,1)</f>
        <v>20.893599999999999</v>
      </c>
      <c r="X25" s="6"/>
      <c r="Y25" s="6"/>
      <c r="Z25" s="6"/>
      <c r="AA25" s="6"/>
      <c r="AB25" s="131" t="s">
        <v>1284</v>
      </c>
      <c r="AC25" s="6">
        <f>IF(time=0, AC24/EXP(-AC13*AC15), MIN(AC24/EXP(-AC13*AC15), time-SUMPRODUCT(AC21:AC24,AD21:AD24)))</f>
        <v>78.871571257526384</v>
      </c>
      <c r="AD25" s="48">
        <f>(1-EXP(-AC13*AC15))^5</f>
        <v>0.84222617511293607</v>
      </c>
      <c r="AE25" s="6">
        <v>0</v>
      </c>
      <c r="AF25" s="6">
        <v>0</v>
      </c>
      <c r="AG25" s="6">
        <v>5</v>
      </c>
    </row>
    <row r="26" spans="1:39" ht="11.25" customHeight="1">
      <c r="A26" s="10" t="s">
        <v>1283</v>
      </c>
      <c r="B26" s="114">
        <v>1</v>
      </c>
      <c r="C26" s="114"/>
      <c r="D26" s="114"/>
      <c r="E26" s="114"/>
      <c r="F26" s="115"/>
      <c r="G26" s="115"/>
      <c r="H26" s="114"/>
      <c r="I26" s="114"/>
      <c r="J26" s="116"/>
      <c r="K26" s="768"/>
      <c r="L26" s="768"/>
      <c r="M26" s="785"/>
      <c r="N26" s="786"/>
      <c r="O26" s="114" t="s">
        <v>1974</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1974</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8"/>
      <c r="L28" s="768"/>
      <c r="M28" s="785"/>
      <c r="N28" s="786"/>
      <c r="O28" s="114" t="s">
        <v>1974</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8"/>
      <c r="L29" s="768"/>
      <c r="M29" s="785"/>
      <c r="N29" s="786"/>
      <c r="O29" s="114" t="s">
        <v>1974</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1289</v>
      </c>
      <c r="B33" s="800" t="s">
        <v>2798</v>
      </c>
      <c r="C33" s="800" t="s">
        <v>1214</v>
      </c>
      <c r="D33" s="800" t="s">
        <v>1215</v>
      </c>
      <c r="E33" s="800" t="s">
        <v>1216</v>
      </c>
      <c r="F33" s="800" t="s">
        <v>2140</v>
      </c>
      <c r="G33" s="800" t="s">
        <v>2139</v>
      </c>
      <c r="H33" s="800" t="s">
        <v>768</v>
      </c>
      <c r="I33" s="800" t="s">
        <v>1219</v>
      </c>
      <c r="J33" s="800" t="s">
        <v>771</v>
      </c>
      <c r="K33" s="800" t="s">
        <v>1222</v>
      </c>
      <c r="L33" s="800" t="s">
        <v>1223</v>
      </c>
      <c r="M33" s="800" t="s">
        <v>1705</v>
      </c>
      <c r="N33" s="800" t="s">
        <v>146</v>
      </c>
      <c r="O33" s="800" t="s">
        <v>1225</v>
      </c>
      <c r="P33" s="800" t="s">
        <v>1226</v>
      </c>
      <c r="Q33" s="800" t="s">
        <v>147</v>
      </c>
      <c r="R33" s="800">
        <v>0</v>
      </c>
      <c r="S33" s="801"/>
      <c r="T33" s="802"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8"/>
      <c r="L34" s="768"/>
      <c r="M34" s="785"/>
      <c r="N34" s="786"/>
      <c r="O34" s="114" t="s">
        <v>1974</v>
      </c>
      <c r="P34" s="124"/>
      <c r="Q34" s="792"/>
      <c r="R34" s="791"/>
      <c r="S34" s="750"/>
      <c r="T34" s="713"/>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8"/>
      <c r="L35" s="768"/>
      <c r="M35" s="785"/>
      <c r="N35" s="786">
        <v>2564</v>
      </c>
      <c r="O35" s="114" t="s">
        <v>1974</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18.838020792706988</v>
      </c>
      <c r="D36" s="114"/>
      <c r="E36" s="114"/>
      <c r="F36" s="115"/>
      <c r="G36" s="115"/>
      <c r="H36" s="114"/>
      <c r="I36" s="114"/>
      <c r="J36" s="116"/>
      <c r="K36" s="768"/>
      <c r="L36" s="768"/>
      <c r="M36" s="785"/>
      <c r="N36" s="786">
        <v>1900</v>
      </c>
      <c r="O36" s="114" t="s">
        <v>1974</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8"/>
      <c r="L37" s="768"/>
      <c r="M37" s="785"/>
      <c r="N37" s="786">
        <v>912</v>
      </c>
      <c r="O37" s="114" t="s">
        <v>1974</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263.73229109789787</v>
      </c>
      <c r="J38" s="116"/>
      <c r="K38" s="768"/>
      <c r="L38" s="768"/>
      <c r="M38" s="785"/>
      <c r="N38" s="786">
        <v>3225</v>
      </c>
      <c r="O38" s="114" t="s">
        <v>1974</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8"/>
      <c r="L39" s="768"/>
      <c r="M39" s="785"/>
      <c r="N39" s="786">
        <v>803</v>
      </c>
      <c r="O39" s="114" t="s">
        <v>1974</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8"/>
      <c r="L40" s="768"/>
      <c r="M40" s="785"/>
      <c r="N40" s="786">
        <v>3222</v>
      </c>
      <c r="O40" s="114" t="s">
        <v>1974</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8"/>
      <c r="L41" s="768"/>
      <c r="M41" s="785"/>
      <c r="N41" s="786">
        <v>1898</v>
      </c>
      <c r="O41" s="114" t="s">
        <v>1974</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8">
        <v>7</v>
      </c>
      <c r="L42" s="768">
        <v>7</v>
      </c>
      <c r="M42" s="785">
        <v>7</v>
      </c>
      <c r="N42" s="786">
        <v>963</v>
      </c>
      <c r="O42" s="114" t="s">
        <v>1974</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1229</v>
      </c>
      <c r="B43" s="114">
        <v>1</v>
      </c>
      <c r="C43" s="21"/>
      <c r="D43" s="789">
        <f>120*enMnOHup</f>
        <v>37.676041585413977</v>
      </c>
      <c r="E43" s="21"/>
      <c r="F43" s="21"/>
      <c r="G43" s="21"/>
      <c r="H43" s="21"/>
      <c r="I43" s="21"/>
      <c r="J43" s="789">
        <f>2*hasterate*enMnOHup</f>
        <v>9.9020365705254676</v>
      </c>
      <c r="K43" s="768"/>
      <c r="L43" s="768"/>
      <c r="M43" s="768"/>
      <c r="N43" s="786">
        <v>2673</v>
      </c>
      <c r="O43" s="114" t="s">
        <v>1974</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2842</v>
      </c>
      <c r="B44" s="114">
        <v>1</v>
      </c>
      <c r="C44" s="21"/>
      <c r="D44" s="789"/>
      <c r="E44" s="21"/>
      <c r="F44" s="21"/>
      <c r="G44" s="21"/>
      <c r="H44" s="21"/>
      <c r="I44" s="21"/>
      <c r="J44" s="789"/>
      <c r="K44" s="768">
        <v>5</v>
      </c>
      <c r="L44" s="768">
        <v>5</v>
      </c>
      <c r="M44" s="768">
        <v>5</v>
      </c>
      <c r="N44" s="786">
        <v>1897</v>
      </c>
      <c r="O44" s="114" t="s">
        <v>1974</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563</v>
      </c>
      <c r="B48" s="800" t="s">
        <v>2798</v>
      </c>
      <c r="C48" s="800" t="s">
        <v>1214</v>
      </c>
      <c r="D48" s="800" t="s">
        <v>1215</v>
      </c>
      <c r="E48" s="800" t="s">
        <v>1216</v>
      </c>
      <c r="F48" s="800" t="s">
        <v>2140</v>
      </c>
      <c r="G48" s="800" t="s">
        <v>2139</v>
      </c>
      <c r="H48" s="800" t="s">
        <v>768</v>
      </c>
      <c r="I48" s="800" t="s">
        <v>1219</v>
      </c>
      <c r="J48" s="800" t="s">
        <v>1017</v>
      </c>
      <c r="K48" s="800" t="s">
        <v>1222</v>
      </c>
      <c r="L48" s="800" t="s">
        <v>1223</v>
      </c>
      <c r="M48" s="800" t="s">
        <v>1705</v>
      </c>
      <c r="N48" s="800" t="s">
        <v>146</v>
      </c>
      <c r="O48" s="800" t="s">
        <v>1225</v>
      </c>
      <c r="P48" s="800" t="s">
        <v>1226</v>
      </c>
      <c r="Q48" s="800" t="s">
        <v>147</v>
      </c>
      <c r="R48" s="800">
        <v>0</v>
      </c>
      <c r="S48" s="801"/>
      <c r="T48" s="802" t="s">
        <v>1689</v>
      </c>
      <c r="U48" s="124"/>
      <c r="Y48" s="48"/>
      <c r="Z48" s="48"/>
      <c r="AA48" s="48"/>
      <c r="AB48" s="48"/>
      <c r="AC48" s="48"/>
      <c r="AD48" s="48"/>
    </row>
    <row r="49" spans="1:30" ht="11.25" customHeight="1">
      <c r="A49" s="10" t="s">
        <v>2207</v>
      </c>
      <c r="B49" s="114"/>
      <c r="C49" s="114"/>
      <c r="D49" s="114"/>
      <c r="E49" s="114"/>
      <c r="F49" s="115"/>
      <c r="G49" s="115"/>
      <c r="H49" s="114"/>
      <c r="I49" s="114"/>
      <c r="J49" s="116"/>
      <c r="K49" s="768"/>
      <c r="L49" s="768"/>
      <c r="M49" s="785"/>
      <c r="N49" s="786"/>
      <c r="O49" s="114" t="s">
        <v>1974</v>
      </c>
      <c r="P49" s="124"/>
      <c r="Q49" s="792"/>
      <c r="R49" s="791"/>
      <c r="S49" s="750"/>
      <c r="T49" s="713"/>
      <c r="U49" s="124"/>
      <c r="Y49" s="48"/>
      <c r="Z49" s="48"/>
      <c r="AA49" s="48"/>
      <c r="AB49" s="48"/>
      <c r="AC49" s="48"/>
      <c r="AD49" s="48"/>
    </row>
    <row r="50" spans="1:30" ht="11.25" customHeight="1">
      <c r="A50" s="10" t="s">
        <v>1286</v>
      </c>
      <c r="B50" s="114">
        <v>1</v>
      </c>
      <c r="C50" s="114"/>
      <c r="D50" s="114"/>
      <c r="E50" s="114"/>
      <c r="F50" s="115">
        <v>14</v>
      </c>
      <c r="G50" s="115"/>
      <c r="H50" s="114"/>
      <c r="I50" s="114"/>
      <c r="J50" s="116"/>
      <c r="K50" s="768">
        <v>12</v>
      </c>
      <c r="L50" s="768">
        <v>12</v>
      </c>
      <c r="M50" s="785">
        <v>12</v>
      </c>
      <c r="N50" s="786"/>
      <c r="O50" s="114" t="s">
        <v>1974</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8"/>
      <c r="L51" s="768"/>
      <c r="M51" s="785"/>
      <c r="N51" s="786"/>
      <c r="O51" s="114" t="s">
        <v>1974</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1974</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2206</v>
      </c>
      <c r="B53" s="114">
        <v>1</v>
      </c>
      <c r="C53" s="114"/>
      <c r="D53" s="114"/>
      <c r="E53" s="114"/>
      <c r="F53" s="115"/>
      <c r="G53" s="115"/>
      <c r="H53" s="114"/>
      <c r="I53" s="114"/>
      <c r="J53" s="116"/>
      <c r="K53" s="768"/>
      <c r="L53" s="768"/>
      <c r="M53" s="785"/>
      <c r="N53" s="786"/>
      <c r="O53" s="114" t="s">
        <v>1974</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2841</v>
      </c>
      <c r="B54" s="114">
        <v>1</v>
      </c>
      <c r="C54" s="114"/>
      <c r="D54" s="114"/>
      <c r="E54" s="114"/>
      <c r="F54" s="115"/>
      <c r="G54" s="115"/>
      <c r="H54" s="114"/>
      <c r="I54" s="114"/>
      <c r="J54" s="116"/>
      <c r="K54" s="768">
        <v>8</v>
      </c>
      <c r="L54" s="768">
        <v>8</v>
      </c>
      <c r="M54" s="785">
        <v>8</v>
      </c>
      <c r="N54" s="786"/>
      <c r="O54" s="114" t="s">
        <v>1974</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1281</v>
      </c>
      <c r="B55" s="114">
        <v>1</v>
      </c>
      <c r="C55" s="114"/>
      <c r="D55" s="114"/>
      <c r="E55" s="114"/>
      <c r="F55" s="115">
        <v>28</v>
      </c>
      <c r="G55" s="115"/>
      <c r="H55" s="114"/>
      <c r="I55" s="114"/>
      <c r="J55" s="116"/>
      <c r="K55" s="768"/>
      <c r="L55" s="768"/>
      <c r="M55" s="785"/>
      <c r="N55" s="786"/>
      <c r="O55" s="114" t="s">
        <v>1974</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1275</v>
      </c>
      <c r="B56" s="114">
        <v>1</v>
      </c>
      <c r="C56" s="114"/>
      <c r="D56" s="114"/>
      <c r="E56" s="114"/>
      <c r="F56" s="115"/>
      <c r="G56" s="115"/>
      <c r="H56" s="114"/>
      <c r="I56" s="114"/>
      <c r="J56" s="116"/>
      <c r="K56" s="768">
        <v>12</v>
      </c>
      <c r="L56" s="768">
        <v>12</v>
      </c>
      <c r="M56" s="785">
        <v>12</v>
      </c>
      <c r="N56" s="786"/>
      <c r="O56" s="114" t="s">
        <v>1974</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1283</v>
      </c>
      <c r="B57" s="114">
        <v>1</v>
      </c>
      <c r="C57" s="114"/>
      <c r="D57" s="114"/>
      <c r="E57" s="114"/>
      <c r="F57" s="115"/>
      <c r="G57" s="115"/>
      <c r="H57" s="114"/>
      <c r="I57" s="114"/>
      <c r="J57" s="116"/>
      <c r="K57" s="768"/>
      <c r="L57" s="768"/>
      <c r="M57" s="785"/>
      <c r="N57" s="786"/>
      <c r="O57" s="114" t="s">
        <v>1974</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1974</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1285</v>
      </c>
      <c r="B59" s="114">
        <v>1</v>
      </c>
      <c r="C59" s="114"/>
      <c r="D59" s="114"/>
      <c r="E59" s="114"/>
      <c r="F59" s="115"/>
      <c r="G59" s="115"/>
      <c r="H59" s="114"/>
      <c r="I59" s="114"/>
      <c r="J59" s="116"/>
      <c r="K59" s="768"/>
      <c r="L59" s="768"/>
      <c r="M59" s="785"/>
      <c r="N59" s="786"/>
      <c r="O59" s="114" t="s">
        <v>1974</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3104</v>
      </c>
      <c r="B1" s="699" t="s">
        <v>1214</v>
      </c>
      <c r="C1" s="699" t="s">
        <v>1215</v>
      </c>
      <c r="D1" s="699" t="s">
        <v>1216</v>
      </c>
      <c r="E1" s="699" t="s">
        <v>2140</v>
      </c>
      <c r="F1" s="699" t="s">
        <v>2139</v>
      </c>
      <c r="G1" s="699" t="s">
        <v>768</v>
      </c>
      <c r="H1" s="699" t="s">
        <v>264</v>
      </c>
      <c r="I1" s="699" t="s">
        <v>2426</v>
      </c>
      <c r="J1" s="699"/>
      <c r="K1" s="699"/>
      <c r="L1" s="699"/>
      <c r="M1" s="699" t="s">
        <v>1218</v>
      </c>
      <c r="O1" s="6" t="s">
        <v>3103</v>
      </c>
    </row>
    <row r="2" spans="1:17">
      <c r="A2" s="142" t="s">
        <v>2464</v>
      </c>
      <c r="B2" s="120">
        <f>23+74</f>
        <v>97</v>
      </c>
      <c r="C2" s="120">
        <f>19+135</f>
        <v>154</v>
      </c>
      <c r="D2" s="120">
        <f>24+68</f>
        <v>92</v>
      </c>
      <c r="E2" s="337"/>
      <c r="F2" s="337"/>
      <c r="G2" s="120"/>
      <c r="H2" s="120"/>
      <c r="I2" s="120"/>
      <c r="J2" s="120"/>
      <c r="K2" s="120"/>
      <c r="L2" s="120"/>
      <c r="M2" s="120"/>
      <c r="N2" s="217"/>
      <c r="O2" s="120">
        <v>0</v>
      </c>
      <c r="P2" s="120"/>
      <c r="Q2" s="120" t="s">
        <v>144</v>
      </c>
    </row>
    <row r="3" spans="1:17">
      <c r="A3" s="142" t="s">
        <v>2465</v>
      </c>
      <c r="B3" s="120">
        <f>16+74</f>
        <v>90</v>
      </c>
      <c r="C3" s="120">
        <f>26+135</f>
        <v>161</v>
      </c>
      <c r="D3" s="120">
        <f>20+68</f>
        <v>88</v>
      </c>
      <c r="E3" s="337"/>
      <c r="F3" s="120"/>
      <c r="G3" s="120"/>
      <c r="H3" s="120"/>
      <c r="I3" s="120"/>
      <c r="J3" s="120"/>
      <c r="K3" s="120"/>
      <c r="L3" s="120"/>
      <c r="M3" s="120"/>
      <c r="N3" s="120"/>
      <c r="O3" s="120">
        <v>1</v>
      </c>
      <c r="P3" s="120"/>
      <c r="Q3" s="120" t="s">
        <v>751</v>
      </c>
    </row>
    <row r="4" spans="1:17">
      <c r="A4" s="142" t="s">
        <v>2466</v>
      </c>
      <c r="B4" s="120">
        <f>21+74</f>
        <v>95</v>
      </c>
      <c r="C4" s="120">
        <f>23+135</f>
        <v>158</v>
      </c>
      <c r="D4" s="120">
        <f>21+68</f>
        <v>89</v>
      </c>
      <c r="E4" s="217"/>
      <c r="F4" s="120"/>
      <c r="G4" s="120"/>
      <c r="H4" s="120"/>
      <c r="I4" s="120"/>
      <c r="J4" s="120"/>
      <c r="K4" s="120"/>
      <c r="L4" s="120"/>
      <c r="M4" s="120"/>
      <c r="N4" s="120"/>
      <c r="O4" s="120">
        <v>2</v>
      </c>
      <c r="P4" s="120"/>
      <c r="Q4" s="120"/>
    </row>
    <row r="5" spans="1:17">
      <c r="A5" s="142" t="s">
        <v>2467</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2470</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462</v>
      </c>
      <c r="C1" s="659">
        <v>3003</v>
      </c>
      <c r="D1" s="659" t="s">
        <v>465</v>
      </c>
      <c r="E1" s="659">
        <v>24061</v>
      </c>
      <c r="F1" s="659" t="s">
        <v>303</v>
      </c>
      <c r="G1" s="659">
        <v>0</v>
      </c>
      <c r="H1" s="659" t="s">
        <v>1689</v>
      </c>
      <c r="J1" s="659" t="s">
        <v>1689</v>
      </c>
      <c r="K1" s="659">
        <v>25894</v>
      </c>
      <c r="L1" s="659" t="s">
        <v>293</v>
      </c>
    </row>
    <row r="2" spans="1:12">
      <c r="A2" s="659">
        <v>34679</v>
      </c>
      <c r="B2" s="659" t="s">
        <v>2029</v>
      </c>
      <c r="C2" s="659">
        <v>0</v>
      </c>
      <c r="D2" s="659" t="s">
        <v>1689</v>
      </c>
      <c r="E2" s="659">
        <v>0</v>
      </c>
      <c r="F2" s="659" t="s">
        <v>1689</v>
      </c>
      <c r="G2" s="659">
        <v>0</v>
      </c>
      <c r="H2" s="659" t="s">
        <v>1689</v>
      </c>
      <c r="I2" s="659">
        <v>0</v>
      </c>
      <c r="J2" s="659" t="s">
        <v>1689</v>
      </c>
    </row>
    <row r="3" spans="1:12">
      <c r="A3" s="659">
        <v>28755</v>
      </c>
      <c r="B3" s="659" t="s">
        <v>1445</v>
      </c>
      <c r="C3" s="659">
        <v>2996</v>
      </c>
      <c r="D3" s="659" t="s">
        <v>1409</v>
      </c>
      <c r="E3" s="659">
        <v>24061</v>
      </c>
      <c r="F3" s="659" t="s">
        <v>303</v>
      </c>
      <c r="G3" s="659">
        <v>24051</v>
      </c>
      <c r="H3" s="659" t="s">
        <v>1983</v>
      </c>
      <c r="I3" s="659">
        <v>0</v>
      </c>
      <c r="J3" s="659" t="s">
        <v>1689</v>
      </c>
    </row>
    <row r="4" spans="1:12">
      <c r="A4" s="659">
        <v>11840</v>
      </c>
      <c r="B4" s="659" t="s">
        <v>1689</v>
      </c>
      <c r="C4" s="659">
        <v>0</v>
      </c>
      <c r="D4" s="659" t="s">
        <v>1689</v>
      </c>
      <c r="E4" s="659">
        <v>0</v>
      </c>
      <c r="F4" s="659" t="s">
        <v>1689</v>
      </c>
      <c r="G4" s="659">
        <v>0</v>
      </c>
      <c r="H4" s="659" t="s">
        <v>1689</v>
      </c>
      <c r="I4" s="659">
        <v>0</v>
      </c>
      <c r="J4" s="659" t="s">
        <v>1689</v>
      </c>
    </row>
    <row r="5" spans="1:12">
      <c r="A5" s="659">
        <v>25831</v>
      </c>
      <c r="B5" s="659" t="s">
        <v>816</v>
      </c>
      <c r="C5" s="659">
        <v>0</v>
      </c>
      <c r="D5" s="659" t="s">
        <v>1689</v>
      </c>
      <c r="E5" s="659">
        <v>24061</v>
      </c>
      <c r="F5" s="659" t="s">
        <v>303</v>
      </c>
      <c r="G5" s="659">
        <v>24061</v>
      </c>
      <c r="H5" s="659" t="s">
        <v>303</v>
      </c>
      <c r="I5" s="659">
        <v>24051</v>
      </c>
      <c r="J5" s="659" t="s">
        <v>1983</v>
      </c>
    </row>
    <row r="6" spans="1:12">
      <c r="A6" s="659">
        <v>28750</v>
      </c>
      <c r="B6" s="659" t="s">
        <v>1523</v>
      </c>
      <c r="C6" s="659">
        <v>0</v>
      </c>
      <c r="D6" s="659" t="s">
        <v>1689</v>
      </c>
      <c r="E6" s="659">
        <v>24061</v>
      </c>
      <c r="F6" s="659" t="s">
        <v>303</v>
      </c>
      <c r="G6" s="659">
        <v>24061</v>
      </c>
      <c r="H6" s="659" t="s">
        <v>303</v>
      </c>
      <c r="I6" s="659">
        <v>0</v>
      </c>
      <c r="J6" s="659" t="s">
        <v>1689</v>
      </c>
    </row>
    <row r="7" spans="1:12">
      <c r="A7" s="659">
        <v>29046</v>
      </c>
      <c r="B7" s="659" t="s">
        <v>483</v>
      </c>
      <c r="C7" s="659">
        <v>3010</v>
      </c>
      <c r="D7" s="659" t="s">
        <v>1414</v>
      </c>
      <c r="E7" s="659">
        <v>0</v>
      </c>
      <c r="F7" s="659" t="s">
        <v>1689</v>
      </c>
      <c r="G7" s="659">
        <v>0</v>
      </c>
      <c r="H7" s="659" t="s">
        <v>1689</v>
      </c>
      <c r="I7" s="659">
        <v>0</v>
      </c>
      <c r="J7" s="659" t="s">
        <v>1689</v>
      </c>
    </row>
    <row r="8" spans="1:12">
      <c r="A8" s="659">
        <v>28545</v>
      </c>
      <c r="B8" s="659" t="s">
        <v>255</v>
      </c>
      <c r="C8" s="659">
        <v>2657</v>
      </c>
      <c r="D8" s="659" t="s">
        <v>257</v>
      </c>
      <c r="E8" s="659">
        <v>24061</v>
      </c>
      <c r="F8" s="659" t="s">
        <v>303</v>
      </c>
      <c r="G8" s="659">
        <v>24051</v>
      </c>
      <c r="H8" s="659" t="s">
        <v>1983</v>
      </c>
      <c r="I8" s="659">
        <v>0</v>
      </c>
      <c r="J8" s="659" t="s">
        <v>1689</v>
      </c>
    </row>
    <row r="9" spans="1:12">
      <c r="A9" s="659">
        <v>29966</v>
      </c>
      <c r="B9" s="659" t="s">
        <v>1305</v>
      </c>
      <c r="C9" s="659">
        <v>1593</v>
      </c>
      <c r="D9" s="659" t="s">
        <v>1271</v>
      </c>
      <c r="E9" s="659">
        <v>31863</v>
      </c>
      <c r="F9" s="659" t="s">
        <v>2286</v>
      </c>
      <c r="G9" s="659">
        <v>0</v>
      </c>
      <c r="H9" s="659" t="s">
        <v>1689</v>
      </c>
      <c r="I9" s="659">
        <v>0</v>
      </c>
      <c r="J9" s="659" t="s">
        <v>1689</v>
      </c>
    </row>
    <row r="10" spans="1:12">
      <c r="A10" s="659">
        <v>33539</v>
      </c>
      <c r="B10" s="659" t="s">
        <v>1434</v>
      </c>
      <c r="C10" s="659">
        <v>2564</v>
      </c>
      <c r="D10" s="659" t="s">
        <v>2077</v>
      </c>
      <c r="E10" s="659">
        <v>0</v>
      </c>
      <c r="F10" s="659" t="s">
        <v>1689</v>
      </c>
      <c r="G10" s="659">
        <v>0</v>
      </c>
      <c r="H10" s="659" t="s">
        <v>1689</v>
      </c>
      <c r="I10" s="659">
        <v>0</v>
      </c>
      <c r="J10" s="659" t="s">
        <v>1689</v>
      </c>
    </row>
    <row r="11" spans="1:12">
      <c r="A11" s="659">
        <v>33919</v>
      </c>
      <c r="B11" s="659" t="s">
        <v>159</v>
      </c>
      <c r="C11" s="659">
        <v>0</v>
      </c>
      <c r="D11" s="659" t="s">
        <v>1689</v>
      </c>
      <c r="E11" s="659">
        <v>0</v>
      </c>
      <c r="F11" s="659" t="s">
        <v>1689</v>
      </c>
      <c r="G11" s="659">
        <v>0</v>
      </c>
      <c r="H11" s="659" t="s">
        <v>1689</v>
      </c>
      <c r="I11" s="659">
        <v>0</v>
      </c>
      <c r="J11" s="659" t="s">
        <v>1689</v>
      </c>
    </row>
    <row r="12" spans="1:12">
      <c r="A12" s="659">
        <v>33057</v>
      </c>
      <c r="B12" s="659" t="s">
        <v>2471</v>
      </c>
      <c r="C12" s="659">
        <v>0</v>
      </c>
      <c r="D12" s="659" t="s">
        <v>1689</v>
      </c>
      <c r="E12" s="659">
        <v>0</v>
      </c>
      <c r="F12" s="659" t="s">
        <v>1689</v>
      </c>
      <c r="G12" s="659">
        <v>0</v>
      </c>
      <c r="H12" s="659" t="s">
        <v>1689</v>
      </c>
      <c r="I12" s="659">
        <v>0</v>
      </c>
      <c r="J12" s="659" t="s">
        <v>1689</v>
      </c>
    </row>
    <row r="13" spans="1:12">
      <c r="A13" s="659">
        <v>28041</v>
      </c>
      <c r="B13" s="659" t="s">
        <v>184</v>
      </c>
      <c r="C13" s="659">
        <v>0</v>
      </c>
      <c r="D13" s="659" t="s">
        <v>1689</v>
      </c>
      <c r="E13" s="659">
        <v>0</v>
      </c>
      <c r="F13" s="659" t="s">
        <v>1689</v>
      </c>
      <c r="G13" s="659">
        <v>0</v>
      </c>
      <c r="H13" s="659" t="s">
        <v>1689</v>
      </c>
      <c r="I13" s="659">
        <v>0</v>
      </c>
      <c r="J13" s="659" t="s">
        <v>1689</v>
      </c>
    </row>
    <row r="14" spans="1:12">
      <c r="A14" s="659">
        <v>34472</v>
      </c>
      <c r="B14" s="659" t="s">
        <v>991</v>
      </c>
      <c r="C14" s="659">
        <v>0</v>
      </c>
      <c r="D14" s="659" t="s">
        <v>1689</v>
      </c>
      <c r="E14" s="659">
        <v>0</v>
      </c>
      <c r="F14" s="659" t="s">
        <v>1689</v>
      </c>
      <c r="G14" s="659">
        <v>0</v>
      </c>
      <c r="H14" s="659" t="s">
        <v>1689</v>
      </c>
      <c r="I14" s="659">
        <v>0</v>
      </c>
      <c r="J14" s="659" t="s">
        <v>1689</v>
      </c>
    </row>
    <row r="15" spans="1:12">
      <c r="A15" s="659">
        <v>27519</v>
      </c>
      <c r="B15" s="659" t="s">
        <v>1413</v>
      </c>
      <c r="C15" s="659">
        <v>0</v>
      </c>
      <c r="D15" s="659" t="s">
        <v>1689</v>
      </c>
      <c r="E15" s="659">
        <v>0</v>
      </c>
      <c r="F15" s="659" t="s">
        <v>1689</v>
      </c>
      <c r="G15" s="659">
        <v>0</v>
      </c>
      <c r="H15" s="659" t="s">
        <v>1689</v>
      </c>
      <c r="I15" s="659">
        <v>0</v>
      </c>
      <c r="J15" s="659" t="s">
        <v>1689</v>
      </c>
    </row>
    <row r="16" spans="1:12">
      <c r="A16" s="659">
        <v>28295</v>
      </c>
      <c r="B16" s="659" t="s">
        <v>1385</v>
      </c>
      <c r="C16" s="659">
        <v>2673</v>
      </c>
      <c r="D16" s="659" t="s">
        <v>1229</v>
      </c>
      <c r="E16" s="659">
        <v>0</v>
      </c>
      <c r="F16" s="659" t="s">
        <v>1689</v>
      </c>
      <c r="G16" s="659">
        <v>0</v>
      </c>
      <c r="H16" s="659" t="s">
        <v>1689</v>
      </c>
      <c r="I16" s="659">
        <v>0</v>
      </c>
      <c r="J16" s="659" t="s">
        <v>1689</v>
      </c>
    </row>
    <row r="17" spans="1:10">
      <c r="A17" s="659">
        <v>32027</v>
      </c>
      <c r="B17" s="659" t="s">
        <v>522</v>
      </c>
      <c r="C17" s="659">
        <v>2673</v>
      </c>
      <c r="D17" s="659" t="s">
        <v>1229</v>
      </c>
      <c r="E17" s="659">
        <v>0</v>
      </c>
      <c r="F17" s="659" t="s">
        <v>1689</v>
      </c>
      <c r="G17" s="659">
        <v>0</v>
      </c>
      <c r="H17" s="659" t="s">
        <v>1689</v>
      </c>
      <c r="I17" s="659">
        <v>0</v>
      </c>
      <c r="J17" s="659" t="s">
        <v>1689</v>
      </c>
    </row>
    <row r="18" spans="1:10">
      <c r="A18" s="659">
        <v>28826</v>
      </c>
      <c r="B18" s="659" t="s">
        <v>1151</v>
      </c>
      <c r="C18" s="659">
        <v>0</v>
      </c>
      <c r="D18" s="659" t="s">
        <v>1689</v>
      </c>
      <c r="E18" s="659">
        <v>0</v>
      </c>
      <c r="F18" s="659" t="s">
        <v>1689</v>
      </c>
      <c r="G18" s="659">
        <v>0</v>
      </c>
      <c r="H18" s="659" t="s">
        <v>1689</v>
      </c>
      <c r="I18" s="659">
        <v>0</v>
      </c>
      <c r="J18" s="659" t="s">
        <v>1689</v>
      </c>
    </row>
    <row r="19" spans="1:10">
      <c r="A19" s="659">
        <v>35221</v>
      </c>
      <c r="B19" s="659" t="s">
        <v>1689</v>
      </c>
      <c r="C19" s="659">
        <v>0</v>
      </c>
      <c r="D19" s="659" t="s">
        <v>1689</v>
      </c>
      <c r="E19" s="659">
        <v>0</v>
      </c>
      <c r="F19" s="659" t="s">
        <v>1689</v>
      </c>
      <c r="G19" s="659">
        <v>0</v>
      </c>
      <c r="H19" s="659" t="s">
        <v>1689</v>
      </c>
      <c r="I19" s="659">
        <v>0</v>
      </c>
      <c r="J19" s="659" t="s">
        <v>1689</v>
      </c>
    </row>
    <row r="20" spans="1:10">
      <c r="B20" s="659" t="s">
        <v>1689</v>
      </c>
      <c r="D20" s="659" t="s">
        <v>1689</v>
      </c>
      <c r="F20" s="659" t="s">
        <v>1689</v>
      </c>
      <c r="H20" s="659" t="s">
        <v>1689</v>
      </c>
      <c r="J20" s="659" t="s">
        <v>1689</v>
      </c>
    </row>
    <row r="21" spans="1:10">
      <c r="B21" s="659" t="s">
        <v>1689</v>
      </c>
      <c r="D21" s="659" t="s">
        <v>1689</v>
      </c>
      <c r="F21" s="659" t="s">
        <v>1689</v>
      </c>
      <c r="H21" s="659" t="s">
        <v>1689</v>
      </c>
      <c r="J21" s="659" t="s">
        <v>1689</v>
      </c>
    </row>
    <row r="23" spans="1:10">
      <c r="A23" s="660" t="s">
        <v>2472</v>
      </c>
    </row>
    <row r="24" spans="1:10">
      <c r="A24" s="659"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3">
        <v>28362</v>
      </c>
      <c r="B2" s="661" t="s">
        <v>1694</v>
      </c>
      <c r="C2" s="6" t="b">
        <v>0</v>
      </c>
      <c r="D2" s="6">
        <v>2</v>
      </c>
    </row>
    <row r="3" spans="1:4">
      <c r="A3" s="253">
        <v>28595</v>
      </c>
      <c r="B3" s="661" t="s">
        <v>1695</v>
      </c>
      <c r="C3" s="6" t="b">
        <v>0</v>
      </c>
      <c r="D3" s="6">
        <v>3</v>
      </c>
    </row>
    <row r="4" spans="1:4">
      <c r="A4" s="253">
        <v>32197</v>
      </c>
      <c r="B4" s="661" t="s">
        <v>1696</v>
      </c>
      <c r="C4" s="6" t="b">
        <v>0</v>
      </c>
      <c r="D4" s="6">
        <v>4</v>
      </c>
    </row>
    <row r="5" spans="1:4">
      <c r="A5" s="253">
        <v>35487</v>
      </c>
      <c r="B5" s="661" t="s">
        <v>809</v>
      </c>
      <c r="C5" s="6" t="b">
        <v>0</v>
      </c>
      <c r="D5" s="6">
        <v>5</v>
      </c>
    </row>
    <row r="6" spans="1:4">
      <c r="A6" s="253">
        <v>24031</v>
      </c>
      <c r="B6" s="661" t="s">
        <v>1697</v>
      </c>
      <c r="C6" s="6" t="b">
        <v>0</v>
      </c>
      <c r="D6" s="6">
        <v>6</v>
      </c>
    </row>
    <row r="7" spans="1:4">
      <c r="A7" s="253">
        <v>33131</v>
      </c>
      <c r="B7" s="661" t="s">
        <v>1622</v>
      </c>
      <c r="C7" s="6" t="b">
        <v>0</v>
      </c>
      <c r="D7" s="6">
        <v>7</v>
      </c>
    </row>
    <row r="8" spans="1:4">
      <c r="A8" s="253">
        <v>23097</v>
      </c>
      <c r="B8" s="661" t="s">
        <v>1698</v>
      </c>
      <c r="C8" s="6" t="b">
        <v>0</v>
      </c>
      <c r="D8" s="6">
        <v>8</v>
      </c>
    </row>
    <row r="9" spans="1:4">
      <c r="A9" s="253">
        <v>32194</v>
      </c>
      <c r="B9" s="661" t="s">
        <v>1922</v>
      </c>
      <c r="C9" s="6" t="b">
        <v>0</v>
      </c>
      <c r="D9" s="6">
        <v>9</v>
      </c>
    </row>
    <row r="10" spans="1:4">
      <c r="A10" s="253">
        <v>24028</v>
      </c>
      <c r="B10" s="661" t="s">
        <v>1923</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1208</v>
      </c>
      <c r="C13" s="6" t="b">
        <v>0</v>
      </c>
      <c r="D13" s="6">
        <v>13</v>
      </c>
    </row>
    <row r="14" spans="1:4">
      <c r="A14" s="253">
        <v>28361</v>
      </c>
      <c r="B14" s="661" t="s">
        <v>604</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2286</v>
      </c>
      <c r="C17" s="6" t="b">
        <v>0</v>
      </c>
      <c r="D17" s="6">
        <v>19</v>
      </c>
    </row>
    <row r="18" spans="1:4">
      <c r="A18" s="258">
        <v>31862</v>
      </c>
      <c r="B18" s="662" t="s">
        <v>1496</v>
      </c>
      <c r="C18" s="6" t="b">
        <v>0</v>
      </c>
      <c r="D18" s="6">
        <v>20</v>
      </c>
    </row>
    <row r="19" spans="1:4">
      <c r="A19" s="258">
        <v>32213</v>
      </c>
      <c r="B19" s="662" t="s">
        <v>1718</v>
      </c>
      <c r="C19" s="6" t="b">
        <v>0</v>
      </c>
      <c r="D19" s="6">
        <v>21</v>
      </c>
    </row>
    <row r="20" spans="1:4">
      <c r="A20" s="258">
        <v>30574</v>
      </c>
      <c r="B20" s="662" t="s">
        <v>2287</v>
      </c>
      <c r="C20" s="6" t="b">
        <v>0</v>
      </c>
      <c r="D20" s="6">
        <v>22</v>
      </c>
    </row>
    <row r="21" spans="1:4">
      <c r="A21" s="258">
        <v>30566</v>
      </c>
      <c r="B21" s="662" t="s">
        <v>88</v>
      </c>
      <c r="C21" s="6" t="b">
        <v>1</v>
      </c>
      <c r="D21" s="6">
        <v>23</v>
      </c>
    </row>
    <row r="22" spans="1:4">
      <c r="A22" s="258">
        <v>31118</v>
      </c>
      <c r="B22" s="662" t="s">
        <v>2288</v>
      </c>
      <c r="C22" s="6" t="b">
        <v>0</v>
      </c>
      <c r="D22" s="6">
        <v>24</v>
      </c>
    </row>
    <row r="23" spans="1:4">
      <c r="A23" s="258">
        <v>30563</v>
      </c>
      <c r="B23" s="662" t="s">
        <v>81</v>
      </c>
      <c r="C23" s="6" t="b">
        <v>1</v>
      </c>
      <c r="D23" s="6">
        <v>25</v>
      </c>
    </row>
    <row r="24" spans="1:4">
      <c r="A24" s="258">
        <v>30563</v>
      </c>
      <c r="B24" s="662" t="s">
        <v>2289</v>
      </c>
      <c r="C24" s="6" t="b">
        <v>1</v>
      </c>
      <c r="D24" s="6">
        <v>26</v>
      </c>
    </row>
    <row r="25" spans="1:4">
      <c r="A25" s="258">
        <v>24055</v>
      </c>
      <c r="B25" s="662" t="s">
        <v>1979</v>
      </c>
      <c r="C25" s="6" t="b">
        <v>0</v>
      </c>
      <c r="D25" s="6">
        <v>27</v>
      </c>
    </row>
    <row r="26" spans="1:4">
      <c r="A26" s="258">
        <v>23110</v>
      </c>
      <c r="B26" s="662" t="s">
        <v>1980</v>
      </c>
      <c r="C26" s="6" t="b">
        <v>0</v>
      </c>
      <c r="D26" s="6">
        <v>28</v>
      </c>
    </row>
    <row r="27" spans="1:4">
      <c r="A27" s="258">
        <v>32212</v>
      </c>
      <c r="B27" s="662" t="s">
        <v>1981</v>
      </c>
      <c r="C27" s="6" t="b">
        <v>0</v>
      </c>
      <c r="D27" s="6">
        <v>29</v>
      </c>
    </row>
    <row r="28" spans="1:4">
      <c r="A28" s="258">
        <v>30549</v>
      </c>
      <c r="B28" s="662" t="s">
        <v>1350</v>
      </c>
      <c r="C28" s="6" t="b">
        <v>0</v>
      </c>
      <c r="D28" s="6">
        <v>30</v>
      </c>
    </row>
    <row r="29" spans="1:4">
      <c r="A29" s="258">
        <v>30546</v>
      </c>
      <c r="B29" s="662" t="s">
        <v>80</v>
      </c>
      <c r="C29" s="6" t="b">
        <v>0</v>
      </c>
      <c r="D29" s="6">
        <v>31</v>
      </c>
    </row>
    <row r="30" spans="1:4">
      <c r="A30" s="258">
        <v>32634</v>
      </c>
      <c r="B30" s="662" t="s">
        <v>1498</v>
      </c>
      <c r="C30" s="6" t="b">
        <v>0</v>
      </c>
      <c r="D30" s="6">
        <v>32</v>
      </c>
    </row>
    <row r="31" spans="1:4">
      <c r="A31" s="263">
        <v>34256</v>
      </c>
      <c r="B31" s="663" t="s">
        <v>1495</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1709</v>
      </c>
      <c r="C35" s="6" t="b">
        <v>1</v>
      </c>
      <c r="D35" s="6">
        <v>39</v>
      </c>
    </row>
    <row r="36" spans="1:4">
      <c r="A36" s="263">
        <v>24033</v>
      </c>
      <c r="B36" s="663" t="s">
        <v>1710</v>
      </c>
      <c r="C36" s="6" t="b">
        <v>1</v>
      </c>
      <c r="D36" s="6">
        <v>40</v>
      </c>
    </row>
    <row r="37" spans="1:4">
      <c r="A37" s="268">
        <v>27786</v>
      </c>
      <c r="B37" s="664" t="s">
        <v>605</v>
      </c>
      <c r="C37" s="6" t="b">
        <v>0</v>
      </c>
      <c r="D37" s="6">
        <v>43</v>
      </c>
    </row>
    <row r="38" spans="1:4">
      <c r="A38" s="268">
        <v>27809</v>
      </c>
      <c r="B38" s="664" t="s">
        <v>1493</v>
      </c>
      <c r="C38" s="6" t="b">
        <v>0</v>
      </c>
      <c r="D38" s="6">
        <v>44</v>
      </c>
    </row>
    <row r="39" spans="1:4">
      <c r="A39" s="268">
        <v>30590</v>
      </c>
      <c r="B39" s="664" t="s">
        <v>89</v>
      </c>
      <c r="C39" s="6" t="b">
        <v>1</v>
      </c>
      <c r="D39" s="6">
        <v>45</v>
      </c>
    </row>
    <row r="40" spans="1:4">
      <c r="A40" s="268">
        <v>23105</v>
      </c>
      <c r="B40" s="664" t="s">
        <v>1864</v>
      </c>
      <c r="C40" s="6" t="b">
        <v>1</v>
      </c>
      <c r="D40" s="6">
        <v>46</v>
      </c>
    </row>
    <row r="41" spans="1:4">
      <c r="A41" s="268">
        <v>32223</v>
      </c>
      <c r="B41" s="664" t="s">
        <v>1858</v>
      </c>
      <c r="C41" s="6" t="b">
        <v>1</v>
      </c>
      <c r="D41" s="6">
        <v>47</v>
      </c>
    </row>
    <row r="42" spans="1:4">
      <c r="A42" s="268">
        <v>24062</v>
      </c>
      <c r="B42" s="664" t="s">
        <v>1863</v>
      </c>
      <c r="C42" s="6" t="b">
        <v>1</v>
      </c>
      <c r="D42" s="6">
        <v>48</v>
      </c>
    </row>
    <row r="43" spans="1:4">
      <c r="A43" s="268">
        <v>30602</v>
      </c>
      <c r="B43" s="664" t="s">
        <v>1711</v>
      </c>
      <c r="C43" s="6" t="b">
        <v>0</v>
      </c>
      <c r="D43" s="6">
        <v>49</v>
      </c>
    </row>
    <row r="44" spans="1:4">
      <c r="A44" s="268">
        <v>23104</v>
      </c>
      <c r="B44" s="664" t="s">
        <v>1712</v>
      </c>
      <c r="C44" s="6" t="b">
        <v>0</v>
      </c>
      <c r="D44" s="6">
        <v>50</v>
      </c>
    </row>
    <row r="45" spans="1:4">
      <c r="A45" s="268">
        <v>32226</v>
      </c>
      <c r="B45" s="664" t="s">
        <v>1713</v>
      </c>
      <c r="C45" s="6" t="b">
        <v>0</v>
      </c>
      <c r="D45" s="6">
        <v>51</v>
      </c>
    </row>
    <row r="46" spans="1:4">
      <c r="A46" s="268">
        <v>24067</v>
      </c>
      <c r="B46" s="664" t="s">
        <v>1714</v>
      </c>
      <c r="C46" s="6" t="b">
        <v>0</v>
      </c>
      <c r="D46" s="6">
        <v>52</v>
      </c>
    </row>
    <row r="47" spans="1:4">
      <c r="A47" s="268">
        <v>30592</v>
      </c>
      <c r="B47" s="664" t="s">
        <v>1715</v>
      </c>
      <c r="C47" s="6" t="b">
        <v>1</v>
      </c>
      <c r="D47" s="6">
        <v>53</v>
      </c>
    </row>
    <row r="48" spans="1:4">
      <c r="A48" s="268">
        <v>35758</v>
      </c>
      <c r="B48" s="664" t="s">
        <v>1859</v>
      </c>
      <c r="C48" s="6" t="b">
        <v>1</v>
      </c>
      <c r="D48" s="6">
        <v>54</v>
      </c>
    </row>
    <row r="49" spans="1:4">
      <c r="A49" s="268">
        <v>33782</v>
      </c>
      <c r="B49" s="664" t="s">
        <v>1499</v>
      </c>
      <c r="C49" s="6" t="b">
        <v>1</v>
      </c>
      <c r="D49" s="6">
        <v>55</v>
      </c>
    </row>
    <row r="50" spans="1:4">
      <c r="A50" s="273">
        <v>33144</v>
      </c>
      <c r="B50" s="665" t="s">
        <v>1867</v>
      </c>
      <c r="C50" s="6" t="b">
        <v>1</v>
      </c>
      <c r="D50" s="6">
        <v>58</v>
      </c>
    </row>
    <row r="51" spans="1:4">
      <c r="A51" s="273">
        <v>24053</v>
      </c>
      <c r="B51" s="665" t="s">
        <v>1500</v>
      </c>
      <c r="C51" s="6" t="b">
        <v>1</v>
      </c>
      <c r="D51" s="6">
        <v>59</v>
      </c>
    </row>
    <row r="52" spans="1:4">
      <c r="A52" s="273">
        <v>32209</v>
      </c>
      <c r="B52" s="665" t="s">
        <v>1982</v>
      </c>
      <c r="C52" s="6" t="b">
        <v>1</v>
      </c>
      <c r="D52" s="6">
        <v>60</v>
      </c>
    </row>
    <row r="53" spans="1:4">
      <c r="A53" s="273">
        <v>24051</v>
      </c>
      <c r="B53" s="665" t="s">
        <v>1983</v>
      </c>
      <c r="C53" s="6" t="b">
        <v>0</v>
      </c>
      <c r="D53" s="6">
        <v>61</v>
      </c>
    </row>
    <row r="54" spans="1:4">
      <c r="A54" s="273">
        <v>23116</v>
      </c>
      <c r="B54" s="665" t="s">
        <v>1984</v>
      </c>
      <c r="C54" s="6" t="b">
        <v>0</v>
      </c>
      <c r="D54" s="6">
        <v>62</v>
      </c>
    </row>
    <row r="55" spans="1:4">
      <c r="A55" s="273">
        <v>32206</v>
      </c>
      <c r="B55" s="665" t="s">
        <v>1985</v>
      </c>
      <c r="C55" s="6" t="b">
        <v>0</v>
      </c>
      <c r="D55" s="6">
        <v>63</v>
      </c>
    </row>
    <row r="56" spans="1:4">
      <c r="A56" s="273">
        <v>24048</v>
      </c>
      <c r="B56" s="665" t="s">
        <v>559</v>
      </c>
      <c r="C56" s="6" t="b">
        <v>0</v>
      </c>
      <c r="D56" s="6">
        <v>64</v>
      </c>
    </row>
    <row r="57" spans="1:4">
      <c r="A57" s="273">
        <v>28290</v>
      </c>
      <c r="B57" s="665" t="s">
        <v>560</v>
      </c>
      <c r="C57" s="6" t="b">
        <v>0</v>
      </c>
      <c r="D57" s="6">
        <v>65</v>
      </c>
    </row>
    <row r="58" spans="1:4">
      <c r="A58" s="273">
        <v>32205</v>
      </c>
      <c r="B58" s="665" t="s">
        <v>2043</v>
      </c>
      <c r="C58" s="6" t="b">
        <v>0</v>
      </c>
      <c r="D58" s="6">
        <v>66</v>
      </c>
    </row>
    <row r="59" spans="1:4">
      <c r="A59" s="273">
        <v>28119</v>
      </c>
      <c r="B59" s="665" t="s">
        <v>1419</v>
      </c>
      <c r="C59" s="6" t="b">
        <v>0</v>
      </c>
      <c r="D59" s="6">
        <v>67</v>
      </c>
    </row>
    <row r="60" spans="1:4">
      <c r="A60" s="273">
        <v>33143</v>
      </c>
      <c r="B60" s="665" t="s">
        <v>1667</v>
      </c>
      <c r="C60" s="6" t="b">
        <v>0</v>
      </c>
      <c r="D60" s="6">
        <v>68</v>
      </c>
    </row>
    <row r="61" spans="1:4">
      <c r="A61" s="273">
        <v>27679</v>
      </c>
      <c r="B61" s="665" t="s">
        <v>1420</v>
      </c>
      <c r="C61" s="6" t="b">
        <v>1</v>
      </c>
      <c r="D61" s="6">
        <v>69</v>
      </c>
    </row>
    <row r="62" spans="1:4">
      <c r="A62" s="273">
        <v>24052</v>
      </c>
      <c r="B62" s="665" t="s">
        <v>1872</v>
      </c>
      <c r="C62" s="6" t="b">
        <v>1</v>
      </c>
      <c r="D62" s="6">
        <v>70</v>
      </c>
    </row>
    <row r="63" spans="1:4">
      <c r="A63" s="273">
        <v>23115</v>
      </c>
      <c r="B63" s="665" t="s">
        <v>1873</v>
      </c>
      <c r="C63" s="6" t="b">
        <v>1</v>
      </c>
      <c r="D63" s="6">
        <v>71</v>
      </c>
    </row>
    <row r="64" spans="1:4">
      <c r="A64" s="273">
        <v>32208</v>
      </c>
      <c r="B64" s="665" t="s">
        <v>1869</v>
      </c>
      <c r="C64" s="6" t="b">
        <v>1</v>
      </c>
      <c r="D64" s="6">
        <v>72</v>
      </c>
    </row>
    <row r="65" spans="1:4">
      <c r="A65" s="278">
        <v>30565</v>
      </c>
      <c r="B65" s="666" t="s">
        <v>296</v>
      </c>
      <c r="C65" s="6" t="b">
        <v>0</v>
      </c>
      <c r="D65" s="6">
        <v>75</v>
      </c>
    </row>
    <row r="66" spans="1:4">
      <c r="A66" s="278">
        <v>30601</v>
      </c>
      <c r="B66" s="666" t="s">
        <v>1876</v>
      </c>
      <c r="C66" s="6" t="b">
        <v>1</v>
      </c>
      <c r="D66" s="6">
        <v>76</v>
      </c>
    </row>
    <row r="67" spans="1:4">
      <c r="A67" s="278">
        <v>30587</v>
      </c>
      <c r="B67" s="666" t="s">
        <v>1877</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1878</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1879</v>
      </c>
      <c r="C77" s="6" t="b">
        <v>0</v>
      </c>
      <c r="D77" s="6">
        <v>87</v>
      </c>
    </row>
    <row r="78" spans="1:4">
      <c r="A78" s="278">
        <v>23098</v>
      </c>
      <c r="B78" s="666" t="s">
        <v>1680</v>
      </c>
      <c r="C78" s="6" t="b">
        <v>0</v>
      </c>
      <c r="D78" s="6">
        <v>88</v>
      </c>
    </row>
    <row r="79" spans="1:4">
      <c r="A79" s="278">
        <v>24058</v>
      </c>
      <c r="B79" s="666" t="s">
        <v>1681</v>
      </c>
      <c r="C79" s="6" t="b">
        <v>0</v>
      </c>
      <c r="D79" s="6">
        <v>89</v>
      </c>
    </row>
    <row r="80" spans="1:4">
      <c r="A80" s="278">
        <v>28363</v>
      </c>
      <c r="B80" s="666" t="s">
        <v>1682</v>
      </c>
      <c r="C80" s="6" t="b">
        <v>0</v>
      </c>
      <c r="D80" s="6">
        <v>90</v>
      </c>
    </row>
    <row r="81" spans="1:4">
      <c r="A81" s="278">
        <v>32217</v>
      </c>
      <c r="B81" s="666" t="s">
        <v>1683</v>
      </c>
      <c r="C81" s="6" t="b">
        <v>0</v>
      </c>
      <c r="D81" s="6">
        <v>91</v>
      </c>
    </row>
    <row r="82" spans="1:4">
      <c r="A82" s="278">
        <v>30575</v>
      </c>
      <c r="B82" s="666" t="s">
        <v>1684</v>
      </c>
      <c r="C82" s="6" t="b">
        <v>0</v>
      </c>
      <c r="D82" s="6">
        <v>92</v>
      </c>
    </row>
    <row r="83" spans="1:4">
      <c r="A83" s="278">
        <v>30553</v>
      </c>
      <c r="B83" s="666" t="s">
        <v>1685</v>
      </c>
      <c r="C83" s="6" t="b">
        <v>0</v>
      </c>
      <c r="D83" s="6">
        <v>93</v>
      </c>
    </row>
    <row r="84" spans="1:4">
      <c r="A84" s="278">
        <v>30604</v>
      </c>
      <c r="B84" s="666" t="s">
        <v>1259</v>
      </c>
      <c r="C84" s="6" t="b">
        <v>0</v>
      </c>
      <c r="D84" s="6">
        <v>94</v>
      </c>
    </row>
    <row r="85" spans="1:4">
      <c r="A85" s="278">
        <v>30607</v>
      </c>
      <c r="B85" s="666" t="s">
        <v>1552</v>
      </c>
      <c r="C85" s="6" t="b">
        <v>1</v>
      </c>
      <c r="D85" s="6">
        <v>95</v>
      </c>
    </row>
    <row r="86" spans="1:4">
      <c r="A86" s="278">
        <v>30554</v>
      </c>
      <c r="B86" s="666" t="s">
        <v>1553</v>
      </c>
      <c r="C86" s="6" t="b">
        <v>1</v>
      </c>
      <c r="D86" s="6">
        <v>96</v>
      </c>
    </row>
    <row r="87" spans="1:4">
      <c r="A87" s="278">
        <v>32637</v>
      </c>
      <c r="B87" s="666" t="s">
        <v>1501</v>
      </c>
      <c r="C87" s="6" t="b">
        <v>0</v>
      </c>
      <c r="D87" s="6">
        <v>97</v>
      </c>
    </row>
    <row r="88" spans="1:4">
      <c r="A88" s="278">
        <v>31869</v>
      </c>
      <c r="B88" s="666" t="s">
        <v>1502</v>
      </c>
      <c r="C88" s="6" t="b">
        <v>0</v>
      </c>
      <c r="D88" s="6">
        <v>98</v>
      </c>
    </row>
    <row r="89" spans="1:4">
      <c r="A89" s="278">
        <v>31868</v>
      </c>
      <c r="B89" s="666" t="s">
        <v>2072</v>
      </c>
      <c r="C89" s="6" t="b">
        <v>0</v>
      </c>
      <c r="D89" s="6">
        <v>99</v>
      </c>
    </row>
    <row r="90" spans="1:4">
      <c r="A90" s="278">
        <v>32222</v>
      </c>
      <c r="B90" s="666" t="s">
        <v>2073</v>
      </c>
      <c r="C90" s="6" t="b">
        <v>0</v>
      </c>
      <c r="D90" s="6">
        <v>100</v>
      </c>
    </row>
    <row r="91" spans="1:4">
      <c r="A91" s="212"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1">
        <v>35033</v>
      </c>
      <c r="B100" s="233" t="s">
        <v>1484</v>
      </c>
    </row>
    <row r="101" spans="1:4">
      <c r="A101" s="231">
        <v>29502</v>
      </c>
      <c r="B101" s="233" t="s">
        <v>1049</v>
      </c>
    </row>
    <row r="102" spans="1:4">
      <c r="A102" s="231">
        <v>32088</v>
      </c>
      <c r="B102" s="233" t="s">
        <v>2473</v>
      </c>
    </row>
    <row r="103" spans="1:4">
      <c r="A103" s="231">
        <v>28732</v>
      </c>
      <c r="B103" s="233" t="s">
        <v>1050</v>
      </c>
    </row>
    <row r="104" spans="1:4">
      <c r="A104" s="318">
        <v>28206</v>
      </c>
      <c r="B104" s="317" t="s">
        <v>2474</v>
      </c>
    </row>
    <row r="105" spans="1:4">
      <c r="A105" s="231">
        <v>32235</v>
      </c>
      <c r="B105" s="233" t="s">
        <v>2249</v>
      </c>
    </row>
    <row r="106" spans="1:4">
      <c r="A106" s="318">
        <v>27415</v>
      </c>
      <c r="B106" s="317" t="s">
        <v>1053</v>
      </c>
    </row>
    <row r="107" spans="1:4">
      <c r="A107" s="231">
        <v>32478</v>
      </c>
      <c r="B107" s="232" t="s">
        <v>1054</v>
      </c>
    </row>
    <row r="108" spans="1:4">
      <c r="A108" s="238">
        <v>30146</v>
      </c>
      <c r="B108" s="230" t="s">
        <v>1057</v>
      </c>
    </row>
    <row r="109" spans="1:4">
      <c r="A109" s="231">
        <v>34244</v>
      </c>
      <c r="B109" s="233" t="s">
        <v>965</v>
      </c>
    </row>
    <row r="110" spans="1:4">
      <c r="A110" s="318">
        <v>28561</v>
      </c>
      <c r="B110" s="317" t="s">
        <v>2475</v>
      </c>
    </row>
    <row r="111" spans="1:4">
      <c r="A111" s="238">
        <v>25830</v>
      </c>
      <c r="B111" s="230" t="s">
        <v>1067</v>
      </c>
    </row>
    <row r="112" spans="1:4">
      <c r="A112" s="318">
        <v>28685</v>
      </c>
      <c r="B112" s="319" t="s">
        <v>2476</v>
      </c>
    </row>
    <row r="113" spans="1:2">
      <c r="A113" s="238">
        <v>33479</v>
      </c>
      <c r="B113" s="230" t="s">
        <v>548</v>
      </c>
    </row>
    <row r="114" spans="1:2">
      <c r="A114" s="318">
        <v>28414</v>
      </c>
      <c r="B114" s="317" t="s">
        <v>1071</v>
      </c>
    </row>
    <row r="115" spans="1:2">
      <c r="A115" s="318">
        <v>28182</v>
      </c>
      <c r="B115" s="317" t="s">
        <v>1073</v>
      </c>
    </row>
    <row r="116" spans="1:2">
      <c r="A116" s="318">
        <v>28837</v>
      </c>
      <c r="B116" s="319" t="s">
        <v>2477</v>
      </c>
    </row>
    <row r="117" spans="1:2">
      <c r="A117" s="318">
        <v>23763</v>
      </c>
      <c r="B117" s="319" t="s">
        <v>2478</v>
      </c>
    </row>
    <row r="118" spans="1:2">
      <c r="A118" s="238">
        <v>28796</v>
      </c>
      <c r="B118" s="230" t="s">
        <v>1074</v>
      </c>
    </row>
    <row r="119" spans="1:2">
      <c r="A119" s="238">
        <v>32087</v>
      </c>
      <c r="B119" s="230" t="s">
        <v>1075</v>
      </c>
    </row>
    <row r="120" spans="1:2">
      <c r="A120" s="238">
        <v>34404</v>
      </c>
      <c r="B120" s="230" t="s">
        <v>1211</v>
      </c>
    </row>
    <row r="121" spans="1:2">
      <c r="A121" s="318">
        <v>31281</v>
      </c>
      <c r="B121" s="317" t="s">
        <v>1076</v>
      </c>
    </row>
    <row r="122" spans="1:2">
      <c r="A122" s="238">
        <v>31999</v>
      </c>
      <c r="B122" s="230" t="s">
        <v>1077</v>
      </c>
    </row>
    <row r="123" spans="1:2">
      <c r="A123" s="238">
        <v>29044</v>
      </c>
      <c r="B123" s="239" t="s">
        <v>462</v>
      </c>
    </row>
    <row r="124" spans="1:2">
      <c r="A124" s="318">
        <v>35367</v>
      </c>
      <c r="B124" s="319" t="s">
        <v>705</v>
      </c>
    </row>
    <row r="125" spans="1:2">
      <c r="A125" s="238">
        <v>34353</v>
      </c>
      <c r="B125" s="239" t="s">
        <v>980</v>
      </c>
    </row>
    <row r="126" spans="1:2">
      <c r="A126" s="318">
        <v>27938</v>
      </c>
      <c r="B126" s="317" t="s">
        <v>1079</v>
      </c>
    </row>
    <row r="127" spans="1:2">
      <c r="A127" s="231">
        <v>31027</v>
      </c>
      <c r="B127" s="233" t="s">
        <v>998</v>
      </c>
    </row>
    <row r="128" spans="1:2">
      <c r="A128" s="318">
        <v>31109</v>
      </c>
      <c r="B128" s="317" t="s">
        <v>1000</v>
      </c>
    </row>
    <row r="129" spans="1:2">
      <c r="A129" s="318">
        <v>25680</v>
      </c>
      <c r="B129" s="317" t="s">
        <v>2479</v>
      </c>
    </row>
    <row r="130" spans="1:2">
      <c r="A130" s="318">
        <v>29332</v>
      </c>
      <c r="B130" s="317" t="s">
        <v>2480</v>
      </c>
    </row>
    <row r="131" spans="1:2">
      <c r="A131" s="238">
        <v>31333</v>
      </c>
      <c r="B131" s="230" t="s">
        <v>1002</v>
      </c>
    </row>
    <row r="132" spans="1:2">
      <c r="A132" s="238">
        <v>33701</v>
      </c>
      <c r="B132" s="230" t="s">
        <v>1525</v>
      </c>
    </row>
    <row r="133" spans="1:2">
      <c r="A133" s="318">
        <v>28224</v>
      </c>
      <c r="B133" s="317" t="s">
        <v>1003</v>
      </c>
    </row>
    <row r="134" spans="1:2" ht="22.5">
      <c r="A134" s="212" t="s">
        <v>1934</v>
      </c>
      <c r="B134" s="211" t="s">
        <v>1005</v>
      </c>
    </row>
    <row r="135" spans="1:2">
      <c r="A135" s="214">
        <v>2585</v>
      </c>
      <c r="B135" s="213" t="s">
        <v>1006</v>
      </c>
    </row>
    <row r="136" spans="1:2">
      <c r="A136" s="214">
        <v>3003</v>
      </c>
      <c r="B136" s="213" t="s">
        <v>465</v>
      </c>
    </row>
    <row r="137" spans="1:2">
      <c r="A137" s="214">
        <v>2999</v>
      </c>
      <c r="B137" s="213" t="s">
        <v>2158</v>
      </c>
    </row>
    <row r="138" spans="1:2">
      <c r="A138" s="214">
        <v>2841</v>
      </c>
      <c r="B138" s="213" t="s">
        <v>2212</v>
      </c>
    </row>
    <row r="139" spans="1:2">
      <c r="A139" s="214">
        <v>2543</v>
      </c>
      <c r="B139" s="213" t="s">
        <v>1104</v>
      </c>
    </row>
    <row r="140" spans="1:2">
      <c r="A140" s="214">
        <v>1508</v>
      </c>
      <c r="B140" s="213" t="s">
        <v>1105</v>
      </c>
    </row>
    <row r="141" spans="1:2">
      <c r="A141" s="214">
        <v>27779</v>
      </c>
      <c r="B141" s="213" t="s">
        <v>1106</v>
      </c>
    </row>
    <row r="142" spans="1:2">
      <c r="A142" s="214">
        <v>24114</v>
      </c>
      <c r="B142" s="213" t="s">
        <v>1107</v>
      </c>
    </row>
    <row r="143" spans="1:2">
      <c r="A143" s="214">
        <v>24114</v>
      </c>
      <c r="B143" s="213" t="s">
        <v>2481</v>
      </c>
    </row>
    <row r="144" spans="1:2">
      <c r="A144" s="214">
        <v>33296</v>
      </c>
      <c r="B144" s="215" t="s">
        <v>860</v>
      </c>
    </row>
    <row r="145" spans="1:2">
      <c r="A145" s="214">
        <v>30059</v>
      </c>
      <c r="B145" s="215" t="s">
        <v>1108</v>
      </c>
    </row>
    <row r="146" spans="1:2">
      <c r="A146" s="214">
        <v>32260</v>
      </c>
      <c r="B146" s="213" t="s">
        <v>1110</v>
      </c>
    </row>
    <row r="147" spans="1:2">
      <c r="A147" s="214">
        <v>32591</v>
      </c>
      <c r="B147" s="213" t="s">
        <v>1019</v>
      </c>
    </row>
    <row r="148" spans="1:2">
      <c r="A148" s="214">
        <v>29381</v>
      </c>
      <c r="B148" s="213" t="s">
        <v>657</v>
      </c>
    </row>
    <row r="149" spans="1:2">
      <c r="A149" s="231">
        <v>34177</v>
      </c>
      <c r="B149" s="233" t="s">
        <v>2027</v>
      </c>
    </row>
    <row r="150" spans="1:2">
      <c r="A150" s="231">
        <v>34178</v>
      </c>
      <c r="B150" s="233" t="s">
        <v>2028</v>
      </c>
    </row>
    <row r="151" spans="1:2">
      <c r="A151" s="214">
        <v>25562</v>
      </c>
      <c r="B151" s="213" t="s">
        <v>1020</v>
      </c>
    </row>
    <row r="152" spans="1:2">
      <c r="A152" s="214">
        <v>35135</v>
      </c>
      <c r="B152" s="213" t="s">
        <v>1992</v>
      </c>
    </row>
    <row r="153" spans="1:2">
      <c r="A153" s="231">
        <v>34358</v>
      </c>
      <c r="B153" s="233" t="s">
        <v>978</v>
      </c>
    </row>
    <row r="154" spans="1:2">
      <c r="A154" s="214">
        <v>28168</v>
      </c>
      <c r="B154" s="213" t="s">
        <v>2482</v>
      </c>
    </row>
    <row r="155" spans="1:2">
      <c r="A155" s="214">
        <v>31695</v>
      </c>
      <c r="B155" s="213" t="s">
        <v>1021</v>
      </c>
    </row>
    <row r="156" spans="1:2">
      <c r="A156" s="214">
        <v>32508</v>
      </c>
      <c r="B156" s="213" t="s">
        <v>2483</v>
      </c>
    </row>
    <row r="157" spans="1:2">
      <c r="A157" s="214">
        <v>28244</v>
      </c>
      <c r="B157" s="213" t="s">
        <v>2484</v>
      </c>
    </row>
    <row r="158" spans="1:2">
      <c r="A158" s="214">
        <v>19377</v>
      </c>
      <c r="B158" s="213" t="s">
        <v>1023</v>
      </c>
    </row>
    <row r="159" spans="1:2">
      <c r="A159" s="214">
        <v>28674</v>
      </c>
      <c r="B159" s="213" t="s">
        <v>2485</v>
      </c>
    </row>
    <row r="160" spans="1:2">
      <c r="A160" s="231">
        <v>34679</v>
      </c>
      <c r="B160" s="233" t="s">
        <v>2029</v>
      </c>
    </row>
    <row r="161" spans="1:2">
      <c r="A161" s="231">
        <v>34679</v>
      </c>
      <c r="B161" s="233" t="s">
        <v>2030</v>
      </c>
    </row>
    <row r="162" spans="1:2">
      <c r="A162" s="231">
        <v>34680</v>
      </c>
      <c r="B162" s="233" t="s">
        <v>2486</v>
      </c>
    </row>
    <row r="163" spans="1:2">
      <c r="A163" s="231">
        <v>34680</v>
      </c>
      <c r="B163" s="233" t="s">
        <v>2031</v>
      </c>
    </row>
    <row r="164" spans="1:2">
      <c r="A164" s="214">
        <v>29335</v>
      </c>
      <c r="B164" s="213" t="s">
        <v>2487</v>
      </c>
    </row>
    <row r="165" spans="1:2">
      <c r="A165" s="214">
        <v>30017</v>
      </c>
      <c r="B165" s="213" t="s">
        <v>690</v>
      </c>
    </row>
    <row r="166" spans="1:2">
      <c r="A166" s="214">
        <v>33297</v>
      </c>
      <c r="B166" s="213" t="s">
        <v>277</v>
      </c>
    </row>
    <row r="167" spans="1:2">
      <c r="A167" s="214">
        <v>27546</v>
      </c>
      <c r="B167" s="213" t="s">
        <v>2488</v>
      </c>
    </row>
    <row r="168" spans="1:2">
      <c r="A168" s="214">
        <v>33066</v>
      </c>
      <c r="B168" s="213" t="s">
        <v>2489</v>
      </c>
    </row>
    <row r="169" spans="1:2">
      <c r="A169" s="214">
        <v>33923</v>
      </c>
      <c r="B169" s="213" t="s">
        <v>158</v>
      </c>
    </row>
    <row r="170" spans="1:2">
      <c r="A170" s="214">
        <v>28509</v>
      </c>
      <c r="B170" s="215" t="s">
        <v>1339</v>
      </c>
    </row>
    <row r="171" spans="1:2">
      <c r="A171" s="214">
        <v>29148</v>
      </c>
      <c r="B171" s="213" t="s">
        <v>1569</v>
      </c>
    </row>
    <row r="172" spans="1:2">
      <c r="A172" s="214">
        <v>28755</v>
      </c>
      <c r="B172" s="213" t="s">
        <v>1445</v>
      </c>
    </row>
    <row r="173" spans="1:2">
      <c r="A173" s="214">
        <v>35035</v>
      </c>
      <c r="B173" s="213" t="s">
        <v>1487</v>
      </c>
    </row>
    <row r="174" spans="1:2">
      <c r="A174" s="214">
        <v>30149</v>
      </c>
      <c r="B174" s="213" t="s">
        <v>1448</v>
      </c>
    </row>
    <row r="175" spans="1:2">
      <c r="A175" s="231">
        <v>34392</v>
      </c>
      <c r="B175" s="233" t="s">
        <v>966</v>
      </c>
    </row>
    <row r="176" spans="1:2">
      <c r="A176" s="214">
        <v>25790</v>
      </c>
      <c r="B176" s="213" t="s">
        <v>1450</v>
      </c>
    </row>
    <row r="177" spans="1:2">
      <c r="A177" s="214">
        <v>25832</v>
      </c>
      <c r="B177" s="213" t="s">
        <v>1451</v>
      </c>
    </row>
    <row r="178" spans="1:2">
      <c r="A178" s="214">
        <v>32377</v>
      </c>
      <c r="B178" s="213" t="s">
        <v>1456</v>
      </c>
    </row>
    <row r="179" spans="1:2">
      <c r="A179" s="214">
        <v>27434</v>
      </c>
      <c r="B179" s="213" t="s">
        <v>1453</v>
      </c>
    </row>
    <row r="180" spans="1:2">
      <c r="A180" s="214">
        <v>32001</v>
      </c>
      <c r="B180" s="213" t="s">
        <v>1457</v>
      </c>
    </row>
    <row r="181" spans="1:2">
      <c r="A181" s="214">
        <v>29047</v>
      </c>
      <c r="B181" s="213" t="s">
        <v>1458</v>
      </c>
    </row>
    <row r="182" spans="1:2">
      <c r="A182" s="311">
        <v>35369</v>
      </c>
      <c r="B182" s="310" t="s">
        <v>702</v>
      </c>
    </row>
    <row r="183" spans="1:2">
      <c r="A183" s="214">
        <v>30917</v>
      </c>
      <c r="B183" s="213" t="s">
        <v>1460</v>
      </c>
    </row>
    <row r="184" spans="1:2">
      <c r="A184" s="214">
        <v>27776</v>
      </c>
      <c r="B184" s="213" t="s">
        <v>1461</v>
      </c>
    </row>
    <row r="185" spans="1:2">
      <c r="A185" s="214">
        <v>33300</v>
      </c>
      <c r="B185" s="213" t="s">
        <v>1302</v>
      </c>
    </row>
    <row r="186" spans="1:2">
      <c r="A186" s="231">
        <v>34613</v>
      </c>
      <c r="B186" s="233" t="s">
        <v>1143</v>
      </c>
    </row>
    <row r="187" spans="1:2">
      <c r="A187" s="214">
        <v>30055</v>
      </c>
      <c r="B187" s="213" t="s">
        <v>1462</v>
      </c>
    </row>
    <row r="188" spans="1:2">
      <c r="A188" s="231">
        <v>34195</v>
      </c>
      <c r="B188" s="233" t="s">
        <v>873</v>
      </c>
    </row>
    <row r="189" spans="1:2">
      <c r="A189" s="214">
        <v>31030</v>
      </c>
      <c r="B189" s="213" t="s">
        <v>1464</v>
      </c>
    </row>
    <row r="190" spans="1:2">
      <c r="A190" s="214">
        <v>27995</v>
      </c>
      <c r="B190" s="213" t="s">
        <v>1466</v>
      </c>
    </row>
    <row r="191" spans="1:2">
      <c r="A191" s="214">
        <v>32581</v>
      </c>
      <c r="B191" s="213" t="s">
        <v>661</v>
      </c>
    </row>
    <row r="192" spans="1:2">
      <c r="A192" s="214">
        <v>29147</v>
      </c>
      <c r="B192" s="213" t="s">
        <v>1467</v>
      </c>
    </row>
    <row r="193" spans="1:2">
      <c r="A193" s="214">
        <v>33703</v>
      </c>
      <c r="B193" s="213" t="s">
        <v>1526</v>
      </c>
    </row>
    <row r="194" spans="1:2">
      <c r="A194" s="214">
        <v>27797</v>
      </c>
      <c r="B194" s="213" t="s">
        <v>1015</v>
      </c>
    </row>
    <row r="195" spans="1:2">
      <c r="A195" s="212" t="s">
        <v>1934</v>
      </c>
      <c r="B195" s="216" t="s">
        <v>1016</v>
      </c>
    </row>
    <row r="196" spans="1:2">
      <c r="A196" s="214">
        <v>2997</v>
      </c>
      <c r="B196" s="213" t="s">
        <v>1477</v>
      </c>
    </row>
    <row r="197" spans="1:2">
      <c r="A197" s="214">
        <v>2986</v>
      </c>
      <c r="B197" s="213" t="s">
        <v>663</v>
      </c>
    </row>
    <row r="198" spans="1:2">
      <c r="A198" s="214">
        <v>2978</v>
      </c>
      <c r="B198" s="213" t="s">
        <v>2159</v>
      </c>
    </row>
    <row r="199" spans="1:2">
      <c r="A199" s="214">
        <v>2841</v>
      </c>
      <c r="B199" s="213" t="s">
        <v>2212</v>
      </c>
    </row>
    <row r="200" spans="1:2">
      <c r="A200" s="214">
        <v>2996</v>
      </c>
      <c r="B200" s="213" t="s">
        <v>1409</v>
      </c>
    </row>
    <row r="201" spans="1:2">
      <c r="A201" s="214">
        <v>2983</v>
      </c>
      <c r="B201" s="213" t="s">
        <v>1476</v>
      </c>
    </row>
    <row r="202" spans="1:2">
      <c r="A202" s="214">
        <v>2717</v>
      </c>
      <c r="B202" s="213" t="s">
        <v>1018</v>
      </c>
    </row>
    <row r="203" spans="1:2">
      <c r="A203" s="214">
        <v>2606</v>
      </c>
      <c r="B203" s="213" t="s">
        <v>744</v>
      </c>
    </row>
    <row r="204" spans="1:2">
      <c r="A204" s="214">
        <v>27878</v>
      </c>
      <c r="B204" s="213" t="s">
        <v>1410</v>
      </c>
    </row>
    <row r="205" spans="1:2">
      <c r="A205" s="214">
        <v>30729</v>
      </c>
      <c r="B205" s="213" t="s">
        <v>1411</v>
      </c>
    </row>
    <row r="206" spans="1:2">
      <c r="A206" s="214">
        <v>29382</v>
      </c>
      <c r="B206" s="213" t="s">
        <v>1412</v>
      </c>
    </row>
    <row r="207" spans="1:2">
      <c r="A207" s="214">
        <v>33122</v>
      </c>
      <c r="B207" s="213" t="s">
        <v>1472</v>
      </c>
    </row>
    <row r="208" spans="1:2">
      <c r="A208" s="214">
        <v>33590</v>
      </c>
      <c r="B208" s="213" t="s">
        <v>545</v>
      </c>
    </row>
    <row r="209" spans="1:2">
      <c r="A209" s="214">
        <v>27519</v>
      </c>
      <c r="B209" s="213" t="s">
        <v>1413</v>
      </c>
    </row>
    <row r="210" spans="1:2">
      <c r="A210" s="214">
        <v>34708</v>
      </c>
      <c r="B210" s="213" t="s">
        <v>11</v>
      </c>
    </row>
    <row r="211" spans="1:2">
      <c r="A211" s="214">
        <v>31255</v>
      </c>
      <c r="B211" s="213" t="s">
        <v>884</v>
      </c>
    </row>
    <row r="212" spans="1:2">
      <c r="A212" s="214">
        <v>27892</v>
      </c>
      <c r="B212" s="213" t="s">
        <v>885</v>
      </c>
    </row>
    <row r="213" spans="1:2">
      <c r="A213" s="214">
        <v>28777</v>
      </c>
      <c r="B213" s="213" t="s">
        <v>886</v>
      </c>
    </row>
    <row r="214" spans="1:2">
      <c r="A214" s="214">
        <v>25927</v>
      </c>
      <c r="B214" s="213" t="s">
        <v>887</v>
      </c>
    </row>
    <row r="215" spans="1:2">
      <c r="A215" s="214">
        <v>32665</v>
      </c>
      <c r="B215" s="213" t="s">
        <v>1146</v>
      </c>
    </row>
    <row r="216" spans="1:2">
      <c r="A216" s="214">
        <v>29792</v>
      </c>
      <c r="B216" s="213" t="s">
        <v>1614</v>
      </c>
    </row>
    <row r="217" spans="1:2">
      <c r="A217" s="214">
        <v>28032</v>
      </c>
      <c r="B217" s="213" t="s">
        <v>1615</v>
      </c>
    </row>
    <row r="218" spans="1:2">
      <c r="A218" s="214">
        <v>33484</v>
      </c>
      <c r="B218" s="213" t="s">
        <v>1428</v>
      </c>
    </row>
    <row r="219" spans="1:2">
      <c r="A219" s="214">
        <v>28672</v>
      </c>
      <c r="B219" s="213" t="s">
        <v>1118</v>
      </c>
    </row>
    <row r="220" spans="1:2">
      <c r="A220" s="214">
        <v>28764</v>
      </c>
      <c r="B220" s="213" t="s">
        <v>2490</v>
      </c>
    </row>
    <row r="221" spans="1:2">
      <c r="A221" s="214">
        <v>28371</v>
      </c>
      <c r="B221" s="213" t="s">
        <v>1616</v>
      </c>
    </row>
    <row r="222" spans="1:2">
      <c r="A222" s="214">
        <v>30098</v>
      </c>
      <c r="B222" s="213" t="s">
        <v>1617</v>
      </c>
    </row>
    <row r="223" spans="1:2">
      <c r="A223" s="214">
        <v>28529</v>
      </c>
      <c r="B223" s="213" t="s">
        <v>2491</v>
      </c>
    </row>
    <row r="224" spans="1:2">
      <c r="A224" s="214">
        <v>28377</v>
      </c>
      <c r="B224" s="213" t="s">
        <v>228</v>
      </c>
    </row>
    <row r="225" spans="1:2">
      <c r="A225" s="214">
        <v>28380</v>
      </c>
      <c r="B225" s="213" t="s">
        <v>229</v>
      </c>
    </row>
    <row r="226" spans="1:2">
      <c r="A226" s="214">
        <v>32323</v>
      </c>
      <c r="B226" s="213" t="s">
        <v>1618</v>
      </c>
    </row>
    <row r="227" spans="1:2">
      <c r="A227" s="214">
        <v>33593</v>
      </c>
      <c r="B227" s="213" t="s">
        <v>2160</v>
      </c>
    </row>
    <row r="228" spans="1:2">
      <c r="A228" s="214">
        <v>32540</v>
      </c>
      <c r="B228" s="213" t="s">
        <v>2083</v>
      </c>
    </row>
    <row r="229" spans="1:2">
      <c r="A229" s="214">
        <v>29994</v>
      </c>
      <c r="B229" s="213" t="s">
        <v>2084</v>
      </c>
    </row>
    <row r="230" spans="1:2">
      <c r="A230" s="214">
        <v>24259</v>
      </c>
      <c r="B230" s="213" t="s">
        <v>2085</v>
      </c>
    </row>
    <row r="231" spans="1:2">
      <c r="A231" s="212" t="s">
        <v>1934</v>
      </c>
      <c r="B231" s="216" t="s">
        <v>2086</v>
      </c>
    </row>
    <row r="232" spans="1:2">
      <c r="A232" s="214">
        <v>2622</v>
      </c>
      <c r="B232" s="213" t="s">
        <v>2087</v>
      </c>
    </row>
    <row r="233" spans="1:2">
      <c r="A233" s="214">
        <v>368</v>
      </c>
      <c r="B233" s="213" t="s">
        <v>1121</v>
      </c>
    </row>
    <row r="234" spans="1:2">
      <c r="A234" s="214">
        <v>910</v>
      </c>
      <c r="B234" s="213" t="s">
        <v>2088</v>
      </c>
    </row>
    <row r="235" spans="1:2">
      <c r="A235" s="214">
        <v>2621</v>
      </c>
      <c r="B235" s="213" t="s">
        <v>2089</v>
      </c>
    </row>
    <row r="236" spans="1:2">
      <c r="A236" s="214">
        <v>29340</v>
      </c>
      <c r="B236" s="213" t="s">
        <v>1179</v>
      </c>
    </row>
    <row r="237" spans="1:2">
      <c r="A237" s="231">
        <v>34397</v>
      </c>
      <c r="B237" s="233" t="s">
        <v>967</v>
      </c>
    </row>
    <row r="238" spans="1:2">
      <c r="A238" s="214">
        <v>30101</v>
      </c>
      <c r="B238" s="213" t="s">
        <v>2091</v>
      </c>
    </row>
    <row r="239" spans="1:2">
      <c r="A239" s="214">
        <v>35036</v>
      </c>
      <c r="B239" s="213" t="s">
        <v>1986</v>
      </c>
    </row>
    <row r="240" spans="1:2">
      <c r="A240" s="231">
        <v>34369</v>
      </c>
      <c r="B240" s="233" t="s">
        <v>708</v>
      </c>
    </row>
    <row r="241" spans="1:2">
      <c r="A241" s="214">
        <v>27787</v>
      </c>
      <c r="B241" s="213" t="s">
        <v>2492</v>
      </c>
    </row>
    <row r="242" spans="1:2">
      <c r="A242" s="214">
        <v>28601</v>
      </c>
      <c r="B242" s="213" t="s">
        <v>1125</v>
      </c>
    </row>
    <row r="243" spans="1:2">
      <c r="A243" s="214">
        <v>31295</v>
      </c>
      <c r="B243" s="213" t="s">
        <v>2493</v>
      </c>
    </row>
    <row r="244" spans="1:2">
      <c r="A244" s="214">
        <v>27461</v>
      </c>
      <c r="B244" s="213" t="s">
        <v>955</v>
      </c>
    </row>
    <row r="245" spans="1:2">
      <c r="A245" s="214">
        <v>30144</v>
      </c>
      <c r="B245" s="213" t="s">
        <v>815</v>
      </c>
    </row>
    <row r="246" spans="1:2">
      <c r="A246" s="231">
        <v>34906</v>
      </c>
      <c r="B246" s="233" t="s">
        <v>1885</v>
      </c>
    </row>
    <row r="247" spans="1:2">
      <c r="A247" s="214">
        <v>25831</v>
      </c>
      <c r="B247" s="213" t="s">
        <v>816</v>
      </c>
    </row>
    <row r="248" spans="1:2">
      <c r="A248" s="214">
        <v>28688</v>
      </c>
      <c r="B248" s="213" t="s">
        <v>2494</v>
      </c>
    </row>
    <row r="249" spans="1:2">
      <c r="A249" s="231">
        <v>34211</v>
      </c>
      <c r="B249" s="233" t="s">
        <v>870</v>
      </c>
    </row>
    <row r="250" spans="1:2">
      <c r="A250" s="214">
        <v>30933</v>
      </c>
      <c r="B250" s="213" t="s">
        <v>818</v>
      </c>
    </row>
    <row r="251" spans="1:2">
      <c r="A251" s="214">
        <v>28840</v>
      </c>
      <c r="B251" s="213" t="s">
        <v>2495</v>
      </c>
    </row>
    <row r="252" spans="1:2">
      <c r="A252" s="214">
        <v>28172</v>
      </c>
      <c r="B252" s="213" t="s">
        <v>819</v>
      </c>
    </row>
    <row r="253" spans="1:2">
      <c r="A253" s="214">
        <v>32002</v>
      </c>
      <c r="B253" s="213" t="s">
        <v>821</v>
      </c>
    </row>
    <row r="254" spans="1:2">
      <c r="A254" s="214">
        <v>30905</v>
      </c>
      <c r="B254" s="213" t="s">
        <v>500</v>
      </c>
    </row>
    <row r="255" spans="1:2">
      <c r="A255" s="214">
        <v>32252</v>
      </c>
      <c r="B255" s="213" t="s">
        <v>823</v>
      </c>
    </row>
    <row r="256" spans="1:2">
      <c r="A256" s="214">
        <v>29045</v>
      </c>
      <c r="B256" s="213" t="s">
        <v>822</v>
      </c>
    </row>
    <row r="257" spans="1:2">
      <c r="A257" s="311">
        <v>35370</v>
      </c>
      <c r="B257" s="310" t="s">
        <v>706</v>
      </c>
    </row>
    <row r="258" spans="1:2">
      <c r="A258" s="214">
        <v>29973</v>
      </c>
      <c r="B258" s="213" t="s">
        <v>827</v>
      </c>
    </row>
    <row r="259" spans="1:2">
      <c r="A259" s="214">
        <v>29525</v>
      </c>
      <c r="B259" s="213" t="s">
        <v>825</v>
      </c>
    </row>
    <row r="260" spans="1:2">
      <c r="A260" s="214">
        <v>30328</v>
      </c>
      <c r="B260" s="213" t="s">
        <v>828</v>
      </c>
    </row>
    <row r="261" spans="1:2">
      <c r="A261" s="214">
        <v>33204</v>
      </c>
      <c r="B261" s="213" t="s">
        <v>1471</v>
      </c>
    </row>
    <row r="262" spans="1:2">
      <c r="A262" s="214">
        <v>33329</v>
      </c>
      <c r="B262" s="213" t="s">
        <v>546</v>
      </c>
    </row>
    <row r="263" spans="1:2">
      <c r="A263" s="214">
        <v>31028</v>
      </c>
      <c r="B263" s="213" t="s">
        <v>829</v>
      </c>
    </row>
    <row r="264" spans="1:2">
      <c r="A264" s="214">
        <v>30730</v>
      </c>
      <c r="B264" s="213" t="s">
        <v>830</v>
      </c>
    </row>
    <row r="265" spans="1:2">
      <c r="A265" s="214">
        <v>28204</v>
      </c>
      <c r="B265" s="213" t="s">
        <v>2053</v>
      </c>
    </row>
    <row r="266" spans="1:2">
      <c r="A266" s="214">
        <v>34927</v>
      </c>
      <c r="B266" s="213" t="s">
        <v>1891</v>
      </c>
    </row>
    <row r="267" spans="1:2">
      <c r="A267" s="214">
        <v>33704</v>
      </c>
      <c r="B267" s="213" t="s">
        <v>1527</v>
      </c>
    </row>
    <row r="268" spans="1:2">
      <c r="A268" s="214">
        <v>24396</v>
      </c>
      <c r="B268" s="213" t="s">
        <v>2055</v>
      </c>
    </row>
    <row r="269" spans="1:2">
      <c r="A269" s="214">
        <v>25838</v>
      </c>
      <c r="B269" s="213" t="s">
        <v>2496</v>
      </c>
    </row>
    <row r="270" spans="1:2">
      <c r="A270" s="214">
        <v>28264</v>
      </c>
      <c r="B270" s="213" t="s">
        <v>2021</v>
      </c>
    </row>
    <row r="271" spans="1:2">
      <c r="A271" s="212" t="s">
        <v>1934</v>
      </c>
      <c r="B271" s="216" t="s">
        <v>2023</v>
      </c>
    </row>
    <row r="272" spans="1:2">
      <c r="A272" s="214">
        <v>1950</v>
      </c>
      <c r="B272" s="213" t="s">
        <v>2161</v>
      </c>
    </row>
    <row r="273" spans="1:2">
      <c r="A273" s="214">
        <v>2659</v>
      </c>
      <c r="B273" s="213" t="s">
        <v>2025</v>
      </c>
    </row>
    <row r="274" spans="1:2">
      <c r="A274" s="214">
        <v>2661</v>
      </c>
      <c r="B274" s="213" t="s">
        <v>1268</v>
      </c>
    </row>
    <row r="275" spans="1:2">
      <c r="A275" s="214">
        <v>1891</v>
      </c>
      <c r="B275" s="213" t="s">
        <v>2024</v>
      </c>
    </row>
    <row r="276" spans="1:2">
      <c r="A276" s="214">
        <v>2841</v>
      </c>
      <c r="B276" s="213" t="s">
        <v>2212</v>
      </c>
    </row>
    <row r="277" spans="1:2">
      <c r="A277" s="214">
        <v>2933</v>
      </c>
      <c r="B277" s="213" t="s">
        <v>2026</v>
      </c>
    </row>
    <row r="278" spans="1:2">
      <c r="A278" s="238">
        <v>28514</v>
      </c>
      <c r="B278" s="230" t="s">
        <v>1314</v>
      </c>
    </row>
    <row r="279" spans="1:2">
      <c r="A279" s="238">
        <v>30863</v>
      </c>
      <c r="B279" s="230" t="s">
        <v>1315</v>
      </c>
    </row>
    <row r="280" spans="1:2">
      <c r="A280" s="238">
        <v>35167</v>
      </c>
      <c r="B280" s="230" t="s">
        <v>1486</v>
      </c>
    </row>
    <row r="281" spans="1:2">
      <c r="A281" s="238">
        <v>35171</v>
      </c>
      <c r="B281" s="230" t="s">
        <v>1485</v>
      </c>
    </row>
    <row r="282" spans="1:2">
      <c r="A282" s="238">
        <v>32324</v>
      </c>
      <c r="B282" s="230" t="s">
        <v>609</v>
      </c>
    </row>
    <row r="283" spans="1:2">
      <c r="A283" s="238">
        <v>33540</v>
      </c>
      <c r="B283" s="230" t="s">
        <v>1432</v>
      </c>
    </row>
    <row r="284" spans="1:2">
      <c r="A284" s="238">
        <v>29246</v>
      </c>
      <c r="B284" s="230" t="s">
        <v>1298</v>
      </c>
    </row>
    <row r="285" spans="1:2">
      <c r="A285" s="321">
        <v>30399</v>
      </c>
      <c r="B285" s="320" t="s">
        <v>1299</v>
      </c>
    </row>
    <row r="286" spans="1:2">
      <c r="A286" s="238">
        <v>29527</v>
      </c>
      <c r="B286" s="230" t="s">
        <v>1300</v>
      </c>
    </row>
    <row r="287" spans="1:2">
      <c r="A287" s="238">
        <v>30685</v>
      </c>
      <c r="B287" s="239" t="s">
        <v>1349</v>
      </c>
    </row>
    <row r="288" spans="1:2">
      <c r="A288" s="238">
        <v>32647</v>
      </c>
      <c r="B288" s="239" t="s">
        <v>1270</v>
      </c>
    </row>
    <row r="289" spans="1:2">
      <c r="A289" s="238">
        <v>34448</v>
      </c>
      <c r="B289" s="230" t="s">
        <v>983</v>
      </c>
    </row>
    <row r="290" spans="1:2">
      <c r="A290" s="318">
        <v>28171</v>
      </c>
      <c r="B290" s="317" t="s">
        <v>1301</v>
      </c>
    </row>
    <row r="291" spans="1:2">
      <c r="A291" s="238">
        <v>32580</v>
      </c>
      <c r="B291" s="230" t="s">
        <v>1304</v>
      </c>
    </row>
    <row r="292" spans="1:2">
      <c r="A292" s="238">
        <v>29966</v>
      </c>
      <c r="B292" s="230" t="s">
        <v>1305</v>
      </c>
    </row>
    <row r="293" spans="1:2">
      <c r="A293" s="238">
        <v>32814</v>
      </c>
      <c r="B293" s="230" t="s">
        <v>1306</v>
      </c>
    </row>
    <row r="294" spans="1:2">
      <c r="A294" s="238">
        <v>33881</v>
      </c>
      <c r="B294" s="230" t="s">
        <v>792</v>
      </c>
    </row>
    <row r="295" spans="1:2">
      <c r="A295" s="238">
        <v>33893</v>
      </c>
      <c r="B295" s="230" t="s">
        <v>1424</v>
      </c>
    </row>
    <row r="296" spans="1:2">
      <c r="A296" s="212" t="s">
        <v>1934</v>
      </c>
      <c r="B296" s="216" t="s">
        <v>1307</v>
      </c>
    </row>
    <row r="297" spans="1:2">
      <c r="A297" s="214">
        <v>1593</v>
      </c>
      <c r="B297" s="213" t="s">
        <v>1271</v>
      </c>
    </row>
    <row r="298" spans="1:2">
      <c r="A298" s="214">
        <v>2649</v>
      </c>
      <c r="B298" s="213" t="s">
        <v>1308</v>
      </c>
    </row>
    <row r="299" spans="1:2">
      <c r="A299" s="214">
        <v>2648</v>
      </c>
      <c r="B299" s="213" t="s">
        <v>2162</v>
      </c>
    </row>
    <row r="300" spans="1:2">
      <c r="A300" s="214">
        <v>1891</v>
      </c>
      <c r="B300" s="213" t="s">
        <v>2024</v>
      </c>
    </row>
    <row r="301" spans="1:2">
      <c r="A301" s="318">
        <v>32532</v>
      </c>
      <c r="B301" s="317" t="s">
        <v>2497</v>
      </c>
    </row>
    <row r="302" spans="1:2">
      <c r="A302" s="214">
        <v>35032</v>
      </c>
      <c r="B302" s="213" t="s">
        <v>1989</v>
      </c>
    </row>
    <row r="303" spans="1:2">
      <c r="A303" s="214">
        <v>29503</v>
      </c>
      <c r="B303" s="213" t="s">
        <v>1309</v>
      </c>
    </row>
    <row r="304" spans="1:2">
      <c r="A304" s="214">
        <v>30145</v>
      </c>
      <c r="B304" s="213" t="s">
        <v>1310</v>
      </c>
    </row>
    <row r="305" spans="1:2">
      <c r="A305" s="214">
        <v>24365</v>
      </c>
      <c r="B305" s="213" t="s">
        <v>1311</v>
      </c>
    </row>
    <row r="306" spans="1:2">
      <c r="A306" s="214">
        <v>30937</v>
      </c>
      <c r="B306" s="213" t="s">
        <v>2498</v>
      </c>
    </row>
    <row r="307" spans="1:2">
      <c r="A307" s="214">
        <v>25685</v>
      </c>
      <c r="B307" s="213" t="s">
        <v>1312</v>
      </c>
    </row>
    <row r="308" spans="1:2">
      <c r="A308" s="214">
        <v>25834</v>
      </c>
      <c r="B308" s="213" t="s">
        <v>222</v>
      </c>
    </row>
    <row r="309" spans="1:2">
      <c r="A309" s="214">
        <v>28506</v>
      </c>
      <c r="B309" s="213" t="s">
        <v>223</v>
      </c>
    </row>
    <row r="310" spans="1:2">
      <c r="A310" s="231">
        <v>34370</v>
      </c>
      <c r="B310" s="233" t="s">
        <v>707</v>
      </c>
    </row>
    <row r="311" spans="1:2">
      <c r="A311" s="231">
        <v>34408</v>
      </c>
      <c r="B311" s="233" t="s">
        <v>969</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841</v>
      </c>
    </row>
    <row r="317" spans="1:2">
      <c r="A317" s="214">
        <v>34911</v>
      </c>
      <c r="B317" s="213" t="s">
        <v>1886</v>
      </c>
    </row>
    <row r="318" spans="1:2">
      <c r="A318" s="214">
        <v>28776</v>
      </c>
      <c r="B318" s="213" t="s">
        <v>842</v>
      </c>
    </row>
    <row r="319" spans="1:2">
      <c r="A319" s="214">
        <v>29357</v>
      </c>
      <c r="B319" s="213" t="s">
        <v>2499</v>
      </c>
    </row>
    <row r="320" spans="1:2">
      <c r="A320" s="214">
        <v>31998</v>
      </c>
      <c r="B320" s="213" t="s">
        <v>844</v>
      </c>
    </row>
    <row r="321" spans="1:2">
      <c r="A321" s="214">
        <v>29048</v>
      </c>
      <c r="B321" s="213" t="s">
        <v>2076</v>
      </c>
    </row>
    <row r="322" spans="1:2">
      <c r="A322" s="311">
        <v>35468</v>
      </c>
      <c r="B322" s="310" t="s">
        <v>2500</v>
      </c>
    </row>
    <row r="323" spans="1:2">
      <c r="A323" s="311">
        <v>35366</v>
      </c>
      <c r="B323" s="310" t="s">
        <v>2501</v>
      </c>
    </row>
    <row r="324" spans="1:2">
      <c r="A324" s="214">
        <v>27825</v>
      </c>
      <c r="B324" s="213" t="s">
        <v>845</v>
      </c>
    </row>
    <row r="325" spans="1:2">
      <c r="A325" s="214">
        <v>25969</v>
      </c>
      <c r="B325" s="213" t="s">
        <v>846</v>
      </c>
    </row>
    <row r="326" spans="1:2">
      <c r="A326" s="231">
        <v>34234</v>
      </c>
      <c r="B326" s="233" t="s">
        <v>964</v>
      </c>
    </row>
    <row r="327" spans="1:2">
      <c r="A327" s="214">
        <v>31026</v>
      </c>
      <c r="B327" s="213" t="s">
        <v>847</v>
      </c>
    </row>
    <row r="328" spans="1:2">
      <c r="A328" s="214">
        <v>33539</v>
      </c>
      <c r="B328" s="213" t="s">
        <v>1434</v>
      </c>
    </row>
    <row r="329" spans="1:2">
      <c r="A329" s="214">
        <v>33700</v>
      </c>
      <c r="B329" s="213" t="s">
        <v>1528</v>
      </c>
    </row>
    <row r="330" spans="1:2">
      <c r="A330" s="214">
        <v>27531</v>
      </c>
      <c r="B330" s="213" t="s">
        <v>17</v>
      </c>
    </row>
    <row r="331" spans="1:2">
      <c r="A331" s="212" t="s">
        <v>1934</v>
      </c>
      <c r="B331" s="216" t="s">
        <v>18</v>
      </c>
    </row>
    <row r="332" spans="1:2">
      <c r="A332" s="214">
        <v>1594</v>
      </c>
      <c r="B332" s="213" t="s">
        <v>21</v>
      </c>
    </row>
    <row r="333" spans="1:2">
      <c r="A333" s="214">
        <v>1887</v>
      </c>
      <c r="B333" s="213" t="s">
        <v>19</v>
      </c>
    </row>
    <row r="334" spans="1:2">
      <c r="A334" s="214">
        <v>2841</v>
      </c>
      <c r="B334" s="213" t="s">
        <v>2212</v>
      </c>
    </row>
    <row r="335" spans="1:2">
      <c r="A335" s="214">
        <v>931</v>
      </c>
      <c r="B335" s="213" t="s">
        <v>20</v>
      </c>
    </row>
    <row r="336" spans="1:2">
      <c r="A336" s="214">
        <v>2564</v>
      </c>
      <c r="B336" s="213" t="s">
        <v>2077</v>
      </c>
    </row>
    <row r="337" spans="1:2">
      <c r="A337" s="214">
        <v>30040</v>
      </c>
      <c r="B337" s="283" t="s">
        <v>2079</v>
      </c>
    </row>
    <row r="338" spans="1:2">
      <c r="A338" s="214">
        <v>30106</v>
      </c>
      <c r="B338" s="222" t="s">
        <v>23</v>
      </c>
    </row>
    <row r="339" spans="1:2">
      <c r="A339" s="214">
        <v>34929</v>
      </c>
      <c r="B339" s="213" t="s">
        <v>1884</v>
      </c>
    </row>
    <row r="340" spans="1:2">
      <c r="A340" s="214">
        <v>33211</v>
      </c>
      <c r="B340" s="213" t="s">
        <v>1530</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1522</v>
      </c>
    </row>
    <row r="346" spans="1:2">
      <c r="A346" s="214">
        <v>29247</v>
      </c>
      <c r="B346" s="213" t="s">
        <v>1532</v>
      </c>
    </row>
    <row r="347" spans="1:2">
      <c r="A347" s="214">
        <v>28750</v>
      </c>
      <c r="B347" s="213" t="s">
        <v>1523</v>
      </c>
    </row>
    <row r="348" spans="1:2">
      <c r="A348" s="214">
        <v>28828</v>
      </c>
      <c r="B348" s="213" t="s">
        <v>1533</v>
      </c>
    </row>
    <row r="349" spans="1:2">
      <c r="A349" s="214">
        <v>35156</v>
      </c>
      <c r="B349" s="222" t="s">
        <v>1990</v>
      </c>
    </row>
    <row r="350" spans="1:2">
      <c r="A350" s="214">
        <v>28124</v>
      </c>
      <c r="B350" s="213" t="s">
        <v>1534</v>
      </c>
    </row>
    <row r="351" spans="1:2">
      <c r="A351" s="214">
        <v>28986</v>
      </c>
      <c r="B351" s="213" t="s">
        <v>1535</v>
      </c>
    </row>
    <row r="352" spans="1:2">
      <c r="A352" s="214">
        <v>31464</v>
      </c>
      <c r="B352" s="213" t="s">
        <v>1536</v>
      </c>
    </row>
    <row r="353" spans="1:2">
      <c r="A353" s="214">
        <v>29526</v>
      </c>
      <c r="B353" s="213" t="s">
        <v>1251</v>
      </c>
    </row>
    <row r="354" spans="1:2">
      <c r="A354" s="214">
        <v>31131</v>
      </c>
      <c r="B354" s="213" t="s">
        <v>1252</v>
      </c>
    </row>
    <row r="355" spans="1:2">
      <c r="A355" s="214">
        <v>32265</v>
      </c>
      <c r="B355" s="222" t="s">
        <v>1253</v>
      </c>
    </row>
    <row r="356" spans="1:2">
      <c r="A356" s="231">
        <v>34558</v>
      </c>
      <c r="B356" s="233" t="s">
        <v>981</v>
      </c>
    </row>
    <row r="357" spans="1:2">
      <c r="A357" s="214">
        <v>30372</v>
      </c>
      <c r="B357" s="213" t="s">
        <v>1254</v>
      </c>
    </row>
    <row r="358" spans="1:2">
      <c r="A358" s="214">
        <v>32802</v>
      </c>
      <c r="B358" s="222" t="s">
        <v>1255</v>
      </c>
    </row>
    <row r="359" spans="1:2">
      <c r="A359" s="214">
        <v>33879</v>
      </c>
      <c r="B359" s="222" t="s">
        <v>1363</v>
      </c>
    </row>
    <row r="360" spans="1:2">
      <c r="A360" s="214">
        <v>33891</v>
      </c>
      <c r="B360" s="222" t="s">
        <v>1422</v>
      </c>
    </row>
    <row r="361" spans="1:2">
      <c r="A361" s="214">
        <v>33583</v>
      </c>
      <c r="B361" s="213" t="s">
        <v>1408</v>
      </c>
    </row>
    <row r="362" spans="1:2">
      <c r="A362" s="214">
        <v>27719</v>
      </c>
      <c r="B362" s="213" t="s">
        <v>29</v>
      </c>
    </row>
    <row r="363" spans="1:2">
      <c r="A363" s="214">
        <v>35034</v>
      </c>
      <c r="B363" s="213" t="s">
        <v>1987</v>
      </c>
    </row>
    <row r="364" spans="1:2">
      <c r="A364" s="214">
        <v>30148</v>
      </c>
      <c r="B364" s="213" t="s">
        <v>30</v>
      </c>
    </row>
    <row r="365" spans="1:2">
      <c r="A365" s="214">
        <v>30272</v>
      </c>
      <c r="B365" s="213" t="s">
        <v>2502</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970</v>
      </c>
    </row>
    <row r="372" spans="1:2">
      <c r="A372" s="231">
        <v>34188</v>
      </c>
      <c r="B372" s="233" t="s">
        <v>872</v>
      </c>
    </row>
    <row r="373" spans="1:2">
      <c r="A373" s="214">
        <v>27514</v>
      </c>
      <c r="B373" s="213" t="s">
        <v>35</v>
      </c>
    </row>
    <row r="374" spans="1:2">
      <c r="A374" s="214">
        <v>32000</v>
      </c>
      <c r="B374" s="213" t="s">
        <v>1113</v>
      </c>
    </row>
    <row r="375" spans="1:2">
      <c r="A375" s="214">
        <v>30538</v>
      </c>
      <c r="B375" s="213" t="s">
        <v>482</v>
      </c>
    </row>
    <row r="376" spans="1:2">
      <c r="A376" s="214">
        <v>29046</v>
      </c>
      <c r="B376" s="213" t="s">
        <v>483</v>
      </c>
    </row>
    <row r="377" spans="1:2">
      <c r="A377" s="214">
        <v>31545</v>
      </c>
      <c r="B377" s="213" t="s">
        <v>484</v>
      </c>
    </row>
    <row r="378" spans="1:2">
      <c r="A378" s="311">
        <v>35368</v>
      </c>
      <c r="B378" s="310" t="s">
        <v>703</v>
      </c>
    </row>
    <row r="379" spans="1:2">
      <c r="A379" s="214">
        <v>29131</v>
      </c>
      <c r="B379" s="213" t="s">
        <v>485</v>
      </c>
    </row>
    <row r="380" spans="1:2">
      <c r="A380" s="214">
        <v>30898</v>
      </c>
      <c r="B380" s="213" t="s">
        <v>486</v>
      </c>
    </row>
    <row r="381" spans="1:2">
      <c r="A381" s="214">
        <v>33538</v>
      </c>
      <c r="B381" s="213" t="s">
        <v>1433</v>
      </c>
    </row>
    <row r="382" spans="1:2">
      <c r="A382" s="214">
        <v>28741</v>
      </c>
      <c r="B382" s="213" t="s">
        <v>2081</v>
      </c>
    </row>
    <row r="383" spans="1:2">
      <c r="A383" s="214">
        <v>31029</v>
      </c>
      <c r="B383" s="213" t="s">
        <v>487</v>
      </c>
    </row>
    <row r="384" spans="1:2">
      <c r="A384" s="214">
        <v>34910</v>
      </c>
      <c r="B384" s="213" t="s">
        <v>1888</v>
      </c>
    </row>
    <row r="385" spans="1:2">
      <c r="A385" s="214">
        <v>34928</v>
      </c>
      <c r="B385" s="213" t="s">
        <v>1889</v>
      </c>
    </row>
    <row r="386" spans="1:2">
      <c r="A386" s="214">
        <v>33702</v>
      </c>
      <c r="B386" s="213" t="s">
        <v>1529</v>
      </c>
    </row>
    <row r="387" spans="1:2">
      <c r="A387" s="214">
        <v>28347</v>
      </c>
      <c r="B387" s="213" t="s">
        <v>488</v>
      </c>
    </row>
    <row r="388" spans="1:2">
      <c r="A388" s="214">
        <v>27837</v>
      </c>
      <c r="B388" s="213" t="s">
        <v>793</v>
      </c>
    </row>
    <row r="389" spans="1:2">
      <c r="A389" s="212" t="s">
        <v>1934</v>
      </c>
      <c r="B389" s="216" t="s">
        <v>794</v>
      </c>
    </row>
    <row r="390" spans="1:2">
      <c r="A390" s="214">
        <v>3011</v>
      </c>
      <c r="B390" s="213" t="s">
        <v>1341</v>
      </c>
    </row>
    <row r="391" spans="1:2">
      <c r="A391" s="214">
        <v>3010</v>
      </c>
      <c r="B391" s="213" t="s">
        <v>1414</v>
      </c>
    </row>
    <row r="392" spans="1:2">
      <c r="A392" s="214">
        <v>2585</v>
      </c>
      <c r="B392" s="213" t="s">
        <v>795</v>
      </c>
    </row>
    <row r="393" spans="1:2">
      <c r="A393" s="214">
        <v>2841</v>
      </c>
      <c r="B393" s="213" t="s">
        <v>2212</v>
      </c>
    </row>
    <row r="394" spans="1:2">
      <c r="A394" s="214">
        <v>2543</v>
      </c>
      <c r="B394" s="213" t="s">
        <v>1104</v>
      </c>
    </row>
    <row r="395" spans="1:2">
      <c r="A395" s="214">
        <v>1508</v>
      </c>
      <c r="B395" s="213" t="s">
        <v>1105</v>
      </c>
    </row>
    <row r="396" spans="1:2">
      <c r="A396" s="214">
        <v>3013</v>
      </c>
      <c r="B396" s="213" t="s">
        <v>1919</v>
      </c>
    </row>
    <row r="397" spans="1:2">
      <c r="A397" s="214">
        <v>3012</v>
      </c>
      <c r="B397" s="213" t="s">
        <v>1342</v>
      </c>
    </row>
    <row r="398" spans="1:2">
      <c r="A398" s="214">
        <v>30891</v>
      </c>
      <c r="B398" s="213" t="s">
        <v>1920</v>
      </c>
    </row>
    <row r="399" spans="1:2">
      <c r="A399" s="214">
        <v>30060</v>
      </c>
      <c r="B399" s="213" t="s">
        <v>665</v>
      </c>
    </row>
    <row r="400" spans="1:2">
      <c r="A400" s="214">
        <v>28339</v>
      </c>
      <c r="B400" s="213" t="s">
        <v>693</v>
      </c>
    </row>
    <row r="401" spans="1:2">
      <c r="A401" s="214">
        <v>27867</v>
      </c>
      <c r="B401" s="213" t="s">
        <v>694</v>
      </c>
    </row>
    <row r="402" spans="1:2">
      <c r="A402" s="214">
        <v>30039</v>
      </c>
      <c r="B402" s="213" t="s">
        <v>695</v>
      </c>
    </row>
    <row r="403" spans="1:2">
      <c r="A403" s="214">
        <v>28545</v>
      </c>
      <c r="B403" s="213" t="s">
        <v>255</v>
      </c>
    </row>
    <row r="404" spans="1:2">
      <c r="A404" s="214">
        <v>30401</v>
      </c>
      <c r="B404" s="213" t="s">
        <v>696</v>
      </c>
    </row>
    <row r="405" spans="1:2">
      <c r="A405" s="214">
        <v>25686</v>
      </c>
      <c r="B405" s="213" t="s">
        <v>889</v>
      </c>
    </row>
    <row r="406" spans="1:2">
      <c r="A406" s="214">
        <v>30939</v>
      </c>
      <c r="B406" s="213" t="s">
        <v>888</v>
      </c>
    </row>
    <row r="407" spans="1:2">
      <c r="A407" s="214">
        <v>28422</v>
      </c>
      <c r="B407" s="213" t="s">
        <v>892</v>
      </c>
    </row>
    <row r="408" spans="1:2">
      <c r="A408" s="214">
        <v>35141</v>
      </c>
      <c r="B408" s="213" t="s">
        <v>1991</v>
      </c>
    </row>
    <row r="409" spans="1:2">
      <c r="A409" s="214">
        <v>28987</v>
      </c>
      <c r="B409" s="213" t="s">
        <v>893</v>
      </c>
    </row>
    <row r="410" spans="1:2">
      <c r="A410" s="214">
        <v>30707</v>
      </c>
      <c r="B410" s="213" t="s">
        <v>2503</v>
      </c>
    </row>
    <row r="411" spans="1:2">
      <c r="A411" s="214">
        <v>33222</v>
      </c>
      <c r="B411" s="213" t="s">
        <v>1431</v>
      </c>
    </row>
    <row r="412" spans="1:2">
      <c r="A412" s="214">
        <v>28669</v>
      </c>
      <c r="B412" s="213" t="s">
        <v>894</v>
      </c>
    </row>
    <row r="413" spans="1:2">
      <c r="A413" s="214">
        <v>32366</v>
      </c>
      <c r="B413" s="213" t="s">
        <v>895</v>
      </c>
    </row>
    <row r="414" spans="1:2">
      <c r="A414" s="214">
        <v>29248</v>
      </c>
      <c r="B414" s="213" t="s">
        <v>896</v>
      </c>
    </row>
    <row r="415" spans="1:2">
      <c r="A415" s="231">
        <v>34575</v>
      </c>
      <c r="B415" s="233" t="s">
        <v>982</v>
      </c>
    </row>
    <row r="416" spans="1:2">
      <c r="A416" s="231">
        <v>34809</v>
      </c>
      <c r="B416" s="233" t="s">
        <v>129</v>
      </c>
    </row>
    <row r="417" spans="1:2">
      <c r="A417" s="214">
        <v>31288</v>
      </c>
      <c r="B417" s="213" t="s">
        <v>716</v>
      </c>
    </row>
    <row r="418" spans="1:2">
      <c r="A418" s="214">
        <v>32790</v>
      </c>
      <c r="B418" s="213" t="s">
        <v>717</v>
      </c>
    </row>
    <row r="419" spans="1:2">
      <c r="A419" s="214">
        <v>33892</v>
      </c>
      <c r="B419" s="213" t="s">
        <v>1423</v>
      </c>
    </row>
    <row r="420" spans="1:2">
      <c r="A420" s="212" t="s">
        <v>1934</v>
      </c>
      <c r="B420" s="216" t="s">
        <v>718</v>
      </c>
    </row>
    <row r="421" spans="1:2">
      <c r="A421" s="215">
        <v>2940</v>
      </c>
      <c r="B421" s="213" t="s">
        <v>721</v>
      </c>
    </row>
    <row r="422" spans="1:2">
      <c r="A422" s="215">
        <v>2939</v>
      </c>
      <c r="B422" s="213" t="s">
        <v>720</v>
      </c>
    </row>
    <row r="423" spans="1:2">
      <c r="A423" s="215">
        <v>2657</v>
      </c>
      <c r="B423" s="213" t="s">
        <v>257</v>
      </c>
    </row>
    <row r="424" spans="1:2">
      <c r="A424" s="215">
        <v>2649</v>
      </c>
      <c r="B424" s="213" t="s">
        <v>1308</v>
      </c>
    </row>
    <row r="425" spans="1:2">
      <c r="A425" s="214">
        <v>1887</v>
      </c>
      <c r="B425" s="213" t="s">
        <v>19</v>
      </c>
    </row>
    <row r="426" spans="1:2">
      <c r="A426" s="215">
        <v>2841</v>
      </c>
      <c r="B426" s="213" t="s">
        <v>2212</v>
      </c>
    </row>
    <row r="427" spans="1:2">
      <c r="A427" s="215">
        <v>911</v>
      </c>
      <c r="B427" s="213" t="s">
        <v>719</v>
      </c>
    </row>
    <row r="428" spans="1:2">
      <c r="A428" s="215">
        <v>2658</v>
      </c>
      <c r="B428" s="213" t="s">
        <v>722</v>
      </c>
    </row>
    <row r="429" spans="1:2">
      <c r="A429" s="214">
        <v>34887</v>
      </c>
      <c r="B429" s="213" t="s">
        <v>155</v>
      </c>
    </row>
    <row r="430" spans="1:2">
      <c r="A430" s="214">
        <v>30973</v>
      </c>
      <c r="B430" s="213" t="s">
        <v>1913</v>
      </c>
    </row>
    <row r="431" spans="1:2">
      <c r="A431" s="311">
        <v>34798</v>
      </c>
      <c r="B431" s="310" t="s">
        <v>2094</v>
      </c>
    </row>
    <row r="432" spans="1:2">
      <c r="A432" s="311">
        <v>34706</v>
      </c>
      <c r="B432" s="310" t="s">
        <v>10</v>
      </c>
    </row>
    <row r="433" spans="1:2">
      <c r="A433" s="214">
        <v>32526</v>
      </c>
      <c r="B433" s="213" t="s">
        <v>723</v>
      </c>
    </row>
    <row r="434" spans="1:2">
      <c r="A434" s="214">
        <v>29298</v>
      </c>
      <c r="B434" s="213" t="s">
        <v>2504</v>
      </c>
    </row>
    <row r="435" spans="1:2">
      <c r="A435" s="214">
        <v>29299</v>
      </c>
      <c r="B435" s="213" t="s">
        <v>2505</v>
      </c>
    </row>
    <row r="436" spans="1:2">
      <c r="A436" s="214">
        <v>29300</v>
      </c>
      <c r="B436" s="213" t="s">
        <v>2506</v>
      </c>
    </row>
    <row r="437" spans="1:2">
      <c r="A437" s="214">
        <v>34189</v>
      </c>
      <c r="B437" s="213" t="s">
        <v>130</v>
      </c>
    </row>
    <row r="438" spans="1:2">
      <c r="A438" s="214">
        <v>29301</v>
      </c>
      <c r="B438" s="213" t="s">
        <v>1921</v>
      </c>
    </row>
    <row r="439" spans="1:2">
      <c r="A439" s="214">
        <v>28553</v>
      </c>
      <c r="B439" s="213" t="s">
        <v>724</v>
      </c>
    </row>
    <row r="440" spans="1:2">
      <c r="A440" s="214">
        <v>29997</v>
      </c>
      <c r="B440" s="222" t="s">
        <v>491</v>
      </c>
    </row>
    <row r="441" spans="1:2">
      <c r="A441" s="214">
        <v>28246</v>
      </c>
      <c r="B441" s="213" t="s">
        <v>2507</v>
      </c>
    </row>
    <row r="442" spans="1:2">
      <c r="A442" s="214">
        <v>24088</v>
      </c>
      <c r="B442" s="213" t="s">
        <v>2163</v>
      </c>
    </row>
    <row r="443" spans="1:2">
      <c r="A443" s="214">
        <v>28407</v>
      </c>
      <c r="B443" s="213" t="s">
        <v>2164</v>
      </c>
    </row>
    <row r="444" spans="1:2">
      <c r="A444" s="214">
        <v>28649</v>
      </c>
      <c r="B444" s="213" t="s">
        <v>492</v>
      </c>
    </row>
    <row r="445" spans="1:2">
      <c r="A445" s="214">
        <v>35131</v>
      </c>
      <c r="B445" s="213" t="s">
        <v>1993</v>
      </c>
    </row>
    <row r="446" spans="1:2">
      <c r="A446" s="231">
        <v>34361</v>
      </c>
      <c r="B446" s="233" t="s">
        <v>979</v>
      </c>
    </row>
    <row r="447" spans="1:2">
      <c r="A447" s="214">
        <v>30860</v>
      </c>
      <c r="B447" s="213" t="s">
        <v>493</v>
      </c>
    </row>
    <row r="448" spans="1:2">
      <c r="A448" s="214">
        <v>25804</v>
      </c>
      <c r="B448" s="213" t="s">
        <v>1230</v>
      </c>
    </row>
    <row r="449" spans="1:2">
      <c r="A449" s="214">
        <v>27925</v>
      </c>
      <c r="B449" s="213" t="s">
        <v>494</v>
      </c>
    </row>
    <row r="450" spans="1:2">
      <c r="A450" s="214">
        <v>28757</v>
      </c>
      <c r="B450" s="213" t="s">
        <v>259</v>
      </c>
    </row>
    <row r="451" spans="1:2">
      <c r="A451" s="214">
        <v>29379</v>
      </c>
      <c r="B451" s="213" t="s">
        <v>495</v>
      </c>
    </row>
    <row r="452" spans="1:2">
      <c r="A452" s="214">
        <v>32266</v>
      </c>
      <c r="B452" s="222" t="s">
        <v>1936</v>
      </c>
    </row>
    <row r="453" spans="1:2">
      <c r="A453" s="214">
        <v>34075</v>
      </c>
      <c r="B453" s="213" t="s">
        <v>727</v>
      </c>
    </row>
    <row r="454" spans="1:2">
      <c r="A454" s="214">
        <v>30052</v>
      </c>
      <c r="B454" s="222" t="s">
        <v>496</v>
      </c>
    </row>
    <row r="455" spans="1:2">
      <c r="A455" s="214">
        <v>30738</v>
      </c>
      <c r="B455" s="213" t="s">
        <v>497</v>
      </c>
    </row>
    <row r="456" spans="1:2">
      <c r="A456" s="214">
        <v>32942</v>
      </c>
      <c r="B456" s="213" t="s">
        <v>2285</v>
      </c>
    </row>
    <row r="457" spans="1:2">
      <c r="A457" s="214">
        <v>28791</v>
      </c>
      <c r="B457" s="213" t="s">
        <v>1916</v>
      </c>
    </row>
    <row r="458" spans="1:2">
      <c r="A458" s="214">
        <v>31920</v>
      </c>
      <c r="B458" s="213" t="s">
        <v>1699</v>
      </c>
    </row>
    <row r="459" spans="1:2">
      <c r="A459" s="214">
        <v>30834</v>
      </c>
      <c r="B459" s="213" t="s">
        <v>1700</v>
      </c>
    </row>
    <row r="460" spans="1:2">
      <c r="A460" s="214">
        <v>33496</v>
      </c>
      <c r="B460" s="222" t="s">
        <v>1437</v>
      </c>
    </row>
    <row r="461" spans="1:2">
      <c r="A461" s="214">
        <v>31077</v>
      </c>
      <c r="B461" s="213" t="s">
        <v>1701</v>
      </c>
    </row>
    <row r="462" spans="1:2">
      <c r="A462" s="214">
        <v>32497</v>
      </c>
      <c r="B462" s="222" t="s">
        <v>1702</v>
      </c>
    </row>
    <row r="463" spans="1:2">
      <c r="A463" s="214">
        <v>34837</v>
      </c>
      <c r="B463" s="213" t="s">
        <v>1892</v>
      </c>
    </row>
    <row r="464" spans="1:2">
      <c r="A464" s="214">
        <v>33057</v>
      </c>
      <c r="B464" s="213" t="s">
        <v>2471</v>
      </c>
    </row>
    <row r="465" spans="1:2">
      <c r="A465" s="214">
        <v>33919</v>
      </c>
      <c r="B465" s="213" t="s">
        <v>159</v>
      </c>
    </row>
    <row r="466" spans="1:2">
      <c r="A466" s="214">
        <v>29280</v>
      </c>
      <c r="B466" s="213" t="s">
        <v>2508</v>
      </c>
    </row>
    <row r="467" spans="1:2">
      <c r="A467" s="214">
        <v>29281</v>
      </c>
      <c r="B467" s="213" t="s">
        <v>2509</v>
      </c>
    </row>
    <row r="468" spans="1:2">
      <c r="A468" s="214">
        <v>29282</v>
      </c>
      <c r="B468" s="213" t="s">
        <v>2510</v>
      </c>
    </row>
    <row r="469" spans="1:2">
      <c r="A469" s="214">
        <v>29283</v>
      </c>
      <c r="B469" s="213" t="s">
        <v>1703</v>
      </c>
    </row>
    <row r="470" spans="1:2">
      <c r="A470" s="212" t="s">
        <v>1934</v>
      </c>
      <c r="B470" s="216" t="s">
        <v>1704</v>
      </c>
    </row>
    <row r="471" spans="1:2">
      <c r="A471" s="214">
        <v>2931</v>
      </c>
      <c r="B471" s="213" t="s">
        <v>1706</v>
      </c>
    </row>
    <row r="472" spans="1:2">
      <c r="A472" s="214">
        <v>2929</v>
      </c>
      <c r="B472" s="213" t="s">
        <v>1564</v>
      </c>
    </row>
    <row r="473" spans="1:2">
      <c r="A473" s="241">
        <v>28288</v>
      </c>
      <c r="B473" s="240" t="s">
        <v>2290</v>
      </c>
    </row>
    <row r="474" spans="1:2">
      <c r="A474" s="231">
        <v>32492</v>
      </c>
      <c r="B474" s="230" t="s">
        <v>2295</v>
      </c>
    </row>
    <row r="475" spans="1:2">
      <c r="A475" s="231">
        <v>35751</v>
      </c>
      <c r="B475" s="230" t="s">
        <v>438</v>
      </c>
    </row>
    <row r="476" spans="1:2">
      <c r="A476" s="231">
        <v>34163</v>
      </c>
      <c r="B476" s="232" t="s">
        <v>2511</v>
      </c>
    </row>
    <row r="477" spans="1:2">
      <c r="A477" s="231">
        <v>34576</v>
      </c>
      <c r="B477" s="232" t="s">
        <v>2512</v>
      </c>
    </row>
    <row r="478" spans="1:2">
      <c r="A478" s="231">
        <v>33832</v>
      </c>
      <c r="B478" s="232" t="s">
        <v>2513</v>
      </c>
    </row>
    <row r="479" spans="1:2">
      <c r="A479" s="231">
        <v>34578</v>
      </c>
      <c r="B479" s="232" t="s">
        <v>2514</v>
      </c>
    </row>
    <row r="480" spans="1:2">
      <c r="A480" s="231">
        <v>33831</v>
      </c>
      <c r="B480" s="233" t="s">
        <v>1760</v>
      </c>
    </row>
    <row r="481" spans="1:2">
      <c r="A481" s="241">
        <v>28041</v>
      </c>
      <c r="B481" s="240" t="s">
        <v>184</v>
      </c>
    </row>
    <row r="482" spans="1:2">
      <c r="A482" s="231">
        <v>29383</v>
      </c>
      <c r="B482" s="233" t="s">
        <v>185</v>
      </c>
    </row>
    <row r="483" spans="1:2">
      <c r="A483" s="244">
        <v>29776</v>
      </c>
      <c r="B483" s="243" t="s">
        <v>187</v>
      </c>
    </row>
    <row r="484" spans="1:2">
      <c r="A484" s="241">
        <v>32654</v>
      </c>
      <c r="B484" s="240" t="s">
        <v>1655</v>
      </c>
    </row>
    <row r="485" spans="1:2">
      <c r="A485" s="231">
        <v>31856</v>
      </c>
      <c r="B485" s="232" t="s">
        <v>1657</v>
      </c>
    </row>
    <row r="486" spans="1:2">
      <c r="A486" s="231">
        <v>31857</v>
      </c>
      <c r="B486" s="230" t="s">
        <v>1658</v>
      </c>
    </row>
    <row r="487" spans="1:2">
      <c r="A487" s="231">
        <v>28830</v>
      </c>
      <c r="B487" s="230" t="s">
        <v>1938</v>
      </c>
    </row>
    <row r="488" spans="1:2">
      <c r="A488" s="231">
        <v>19406</v>
      </c>
      <c r="B488" s="233" t="s">
        <v>1955</v>
      </c>
    </row>
    <row r="489" spans="1:2">
      <c r="A489" s="241">
        <v>35694</v>
      </c>
      <c r="B489" s="240" t="s">
        <v>1893</v>
      </c>
    </row>
    <row r="490" spans="1:2">
      <c r="A490" s="241">
        <v>24128</v>
      </c>
      <c r="B490" s="240" t="s">
        <v>1956</v>
      </c>
    </row>
    <row r="491" spans="1:2">
      <c r="A491" s="241">
        <v>35702</v>
      </c>
      <c r="B491" s="240" t="s">
        <v>1347</v>
      </c>
    </row>
    <row r="492" spans="1:2">
      <c r="A492" s="241">
        <v>28034</v>
      </c>
      <c r="B492" s="242" t="s">
        <v>1720</v>
      </c>
    </row>
    <row r="493" spans="1:2">
      <c r="A493" s="241">
        <v>28121</v>
      </c>
      <c r="B493" s="242" t="s">
        <v>785</v>
      </c>
    </row>
    <row r="494" spans="1:2">
      <c r="A494" s="231">
        <v>22954</v>
      </c>
      <c r="B494" s="233" t="s">
        <v>132</v>
      </c>
    </row>
    <row r="495" spans="1:2">
      <c r="A495" s="231">
        <v>32505</v>
      </c>
      <c r="B495" s="230" t="s">
        <v>133</v>
      </c>
    </row>
    <row r="496" spans="1:2">
      <c r="A496" s="231">
        <v>23206</v>
      </c>
      <c r="B496" s="233" t="s">
        <v>2243</v>
      </c>
    </row>
    <row r="497" spans="1:2">
      <c r="A497" s="231">
        <v>28528</v>
      </c>
      <c r="B497" s="233" t="s">
        <v>2165</v>
      </c>
    </row>
    <row r="498" spans="1:2">
      <c r="A498" s="231">
        <v>28579</v>
      </c>
      <c r="B498" s="239" t="s">
        <v>138</v>
      </c>
    </row>
    <row r="499" spans="1:2">
      <c r="A499" s="241">
        <v>13209</v>
      </c>
      <c r="B499" s="240" t="s">
        <v>519</v>
      </c>
    </row>
    <row r="500" spans="1:2">
      <c r="A500" s="231">
        <v>34472</v>
      </c>
      <c r="B500" s="233" t="s">
        <v>991</v>
      </c>
    </row>
    <row r="501" spans="1:2">
      <c r="A501" s="231">
        <v>32770</v>
      </c>
      <c r="B501" s="233" t="s">
        <v>1231</v>
      </c>
    </row>
    <row r="502" spans="1:2">
      <c r="A502" s="231">
        <v>23041</v>
      </c>
      <c r="B502" s="232" t="s">
        <v>139</v>
      </c>
    </row>
    <row r="503" spans="1:2">
      <c r="A503" s="244">
        <v>25937</v>
      </c>
      <c r="B503" s="667" t="s">
        <v>140</v>
      </c>
    </row>
    <row r="504" spans="1:2">
      <c r="A504" s="231">
        <v>30627</v>
      </c>
      <c r="B504" s="239" t="s">
        <v>142</v>
      </c>
    </row>
    <row r="505" spans="1:2">
      <c r="A505" s="231">
        <v>30450</v>
      </c>
      <c r="B505" s="239" t="s">
        <v>1940</v>
      </c>
    </row>
    <row r="506" spans="1:2">
      <c r="A506" s="282">
        <v>2564</v>
      </c>
      <c r="B506" s="668" t="s">
        <v>1975</v>
      </c>
    </row>
    <row r="507" spans="1:2">
      <c r="A507" s="282">
        <v>3222</v>
      </c>
      <c r="B507" s="668" t="s">
        <v>1469</v>
      </c>
    </row>
    <row r="508" spans="1:2">
      <c r="A508" s="282">
        <v>1900</v>
      </c>
      <c r="B508" s="668" t="s">
        <v>1977</v>
      </c>
    </row>
    <row r="509" spans="1:2">
      <c r="A509" s="282">
        <v>3225</v>
      </c>
      <c r="B509" s="668" t="s">
        <v>1665</v>
      </c>
    </row>
    <row r="510" spans="1:2">
      <c r="A510" s="282">
        <v>803</v>
      </c>
      <c r="B510" s="668" t="s">
        <v>1978</v>
      </c>
    </row>
    <row r="511" spans="1:2">
      <c r="A511" s="282">
        <v>1898</v>
      </c>
      <c r="B511" s="668" t="s">
        <v>1639</v>
      </c>
    </row>
    <row r="512" spans="1:2">
      <c r="A512" s="282">
        <v>963</v>
      </c>
      <c r="B512" s="668" t="s">
        <v>1640</v>
      </c>
    </row>
    <row r="513" spans="1:2">
      <c r="A513" s="282">
        <v>2673</v>
      </c>
      <c r="B513" s="668" t="s">
        <v>1229</v>
      </c>
    </row>
    <row r="514" spans="1:2">
      <c r="A514" s="669" t="s">
        <v>146</v>
      </c>
      <c r="B514" s="652" t="s">
        <v>1645</v>
      </c>
    </row>
    <row r="515" spans="1:2">
      <c r="A515" s="669" t="s">
        <v>146</v>
      </c>
      <c r="B515" s="652" t="s">
        <v>1289</v>
      </c>
    </row>
    <row r="516" spans="1:2">
      <c r="A516" s="282">
        <v>2564</v>
      </c>
      <c r="B516" s="668" t="s">
        <v>1975</v>
      </c>
    </row>
    <row r="517" spans="1:2">
      <c r="A517" s="282">
        <v>3222</v>
      </c>
      <c r="B517" s="668" t="s">
        <v>1469</v>
      </c>
    </row>
    <row r="518" spans="1:2">
      <c r="A518" s="282">
        <v>1900</v>
      </c>
      <c r="B518" s="668" t="s">
        <v>1977</v>
      </c>
    </row>
    <row r="519" spans="1:2">
      <c r="A519" s="282">
        <v>3225</v>
      </c>
      <c r="B519" s="668" t="s">
        <v>1665</v>
      </c>
    </row>
    <row r="520" spans="1:2">
      <c r="A520" s="282">
        <v>803</v>
      </c>
      <c r="B520" s="668" t="s">
        <v>1978</v>
      </c>
    </row>
    <row r="521" spans="1:2">
      <c r="A521" s="282">
        <v>1898</v>
      </c>
      <c r="B521" s="668" t="s">
        <v>1639</v>
      </c>
    </row>
    <row r="522" spans="1:2">
      <c r="A522" s="282">
        <v>963</v>
      </c>
      <c r="B522" s="668" t="s">
        <v>1640</v>
      </c>
    </row>
    <row r="523" spans="1:2">
      <c r="A523" s="282">
        <v>2673</v>
      </c>
      <c r="B523" s="668" t="s">
        <v>1229</v>
      </c>
    </row>
    <row r="524" spans="1:2">
      <c r="A524" s="669" t="s">
        <v>146</v>
      </c>
      <c r="B524" s="652" t="s">
        <v>563</v>
      </c>
    </row>
    <row r="525" spans="1:2">
      <c r="A525" s="298">
        <v>34894</v>
      </c>
      <c r="B525" s="480" t="s">
        <v>425</v>
      </c>
    </row>
    <row r="526" spans="1:2">
      <c r="A526" s="298">
        <v>28572</v>
      </c>
      <c r="B526" s="480" t="s">
        <v>2271</v>
      </c>
    </row>
    <row r="527" spans="1:2">
      <c r="A527" s="296">
        <v>34665</v>
      </c>
      <c r="B527" s="479" t="s">
        <v>971</v>
      </c>
    </row>
    <row r="528" spans="1:2">
      <c r="A528" s="298">
        <v>30901</v>
      </c>
      <c r="B528" s="480" t="s">
        <v>2279</v>
      </c>
    </row>
    <row r="529" spans="1:2">
      <c r="A529" s="298">
        <v>35093</v>
      </c>
      <c r="B529" s="480" t="s">
        <v>1998</v>
      </c>
    </row>
    <row r="530" spans="1:2">
      <c r="A530" s="296">
        <v>31305</v>
      </c>
      <c r="B530" s="479" t="s">
        <v>2281</v>
      </c>
    </row>
    <row r="531" spans="1:2">
      <c r="A531" s="298">
        <v>34329</v>
      </c>
      <c r="B531" s="297" t="s">
        <v>988</v>
      </c>
    </row>
    <row r="532" spans="1:2">
      <c r="A532" s="296">
        <v>32659</v>
      </c>
      <c r="B532" s="479" t="s">
        <v>646</v>
      </c>
    </row>
    <row r="533" spans="1:2">
      <c r="A533" s="298">
        <v>33389</v>
      </c>
      <c r="B533" s="480" t="s">
        <v>1663</v>
      </c>
    </row>
    <row r="534" spans="1:2">
      <c r="A534" s="298">
        <v>23555</v>
      </c>
      <c r="B534" s="480" t="s">
        <v>444</v>
      </c>
    </row>
    <row r="535" spans="1:2">
      <c r="A535" s="298">
        <v>34606</v>
      </c>
      <c r="B535" s="480" t="s">
        <v>1142</v>
      </c>
    </row>
    <row r="536" spans="1:2">
      <c r="A536" s="298">
        <v>28524</v>
      </c>
      <c r="B536" s="480" t="s">
        <v>446</v>
      </c>
    </row>
    <row r="537" spans="1:2">
      <c r="A537" s="298">
        <v>34165</v>
      </c>
      <c r="B537" s="480" t="s">
        <v>987</v>
      </c>
    </row>
    <row r="538" spans="1:2">
      <c r="A538" s="298">
        <v>30103</v>
      </c>
      <c r="B538" s="480" t="s">
        <v>447</v>
      </c>
    </row>
    <row r="539" spans="1:2">
      <c r="A539" s="298">
        <v>29346</v>
      </c>
      <c r="B539" s="480" t="s">
        <v>1735</v>
      </c>
    </row>
    <row r="540" spans="1:2">
      <c r="A540" s="298">
        <v>28312</v>
      </c>
      <c r="B540" s="480" t="s">
        <v>1737</v>
      </c>
    </row>
    <row r="541" spans="1:2">
      <c r="A541" s="296">
        <v>28954</v>
      </c>
      <c r="B541" s="479" t="s">
        <v>940</v>
      </c>
    </row>
    <row r="542" spans="1:2">
      <c r="A542" s="296">
        <v>28955</v>
      </c>
      <c r="B542" s="479" t="s">
        <v>941</v>
      </c>
    </row>
    <row r="543" spans="1:2">
      <c r="A543" s="298">
        <v>29121</v>
      </c>
      <c r="B543" s="480" t="s">
        <v>1738</v>
      </c>
    </row>
    <row r="544" spans="1:2">
      <c r="A544" s="298">
        <v>29962</v>
      </c>
      <c r="B544" s="480" t="s">
        <v>648</v>
      </c>
    </row>
    <row r="545" spans="1:2">
      <c r="A545" s="296">
        <v>28929</v>
      </c>
      <c r="B545" s="479" t="s">
        <v>942</v>
      </c>
    </row>
    <row r="546" spans="1:2">
      <c r="A546" s="296">
        <v>28930</v>
      </c>
      <c r="B546" s="479" t="s">
        <v>943</v>
      </c>
    </row>
    <row r="547" spans="1:2">
      <c r="A547" s="296">
        <v>28416</v>
      </c>
      <c r="B547" s="479" t="s">
        <v>649</v>
      </c>
    </row>
    <row r="548" spans="1:2">
      <c r="A548" s="296">
        <v>31745</v>
      </c>
      <c r="B548" s="479" t="s">
        <v>650</v>
      </c>
    </row>
    <row r="549" spans="1:2">
      <c r="A549" s="302">
        <v>30312</v>
      </c>
      <c r="B549" s="481" t="s">
        <v>651</v>
      </c>
    </row>
    <row r="550" spans="1:2">
      <c r="A550" s="298">
        <v>22802</v>
      </c>
      <c r="B550" s="480" t="s">
        <v>652</v>
      </c>
    </row>
    <row r="551" spans="1:2">
      <c r="A551" s="298">
        <v>28768</v>
      </c>
      <c r="B551" s="480" t="s">
        <v>653</v>
      </c>
    </row>
    <row r="552" spans="1:2">
      <c r="A552" s="298">
        <v>32044</v>
      </c>
      <c r="B552" s="480" t="s">
        <v>654</v>
      </c>
    </row>
    <row r="553" spans="1:2">
      <c r="A553" s="298">
        <v>32269</v>
      </c>
      <c r="B553" s="480" t="s">
        <v>239</v>
      </c>
    </row>
    <row r="554" spans="1:2">
      <c r="A554" s="298">
        <v>33298</v>
      </c>
      <c r="B554" s="480" t="s">
        <v>1531</v>
      </c>
    </row>
    <row r="555" spans="1:2">
      <c r="A555" s="298">
        <v>29125</v>
      </c>
      <c r="B555" s="480" t="s">
        <v>655</v>
      </c>
    </row>
    <row r="556" spans="1:2">
      <c r="A556" s="298">
        <v>29182</v>
      </c>
      <c r="B556" s="480" t="s">
        <v>1352</v>
      </c>
    </row>
    <row r="557" spans="1:2">
      <c r="A557" s="298">
        <v>32471</v>
      </c>
      <c r="B557" s="480" t="s">
        <v>1353</v>
      </c>
    </row>
    <row r="558" spans="1:2">
      <c r="A558" s="298">
        <v>34197</v>
      </c>
      <c r="B558" s="480" t="s">
        <v>989</v>
      </c>
    </row>
    <row r="559" spans="1:2">
      <c r="A559" s="296">
        <v>32781</v>
      </c>
      <c r="B559" s="479" t="s">
        <v>647</v>
      </c>
    </row>
    <row r="560" spans="1:2">
      <c r="A560" s="296">
        <v>27463</v>
      </c>
      <c r="B560" s="479" t="s">
        <v>854</v>
      </c>
    </row>
    <row r="561" spans="1:2">
      <c r="A561" s="298">
        <v>31331</v>
      </c>
      <c r="B561" s="480" t="s">
        <v>1370</v>
      </c>
    </row>
    <row r="562" spans="1:2">
      <c r="A562" s="296">
        <v>28226</v>
      </c>
      <c r="B562" s="479" t="s">
        <v>1371</v>
      </c>
    </row>
    <row r="563" spans="1:2">
      <c r="A563" s="298">
        <v>30865</v>
      </c>
      <c r="B563" s="480" t="s">
        <v>1372</v>
      </c>
    </row>
    <row r="564" spans="1:2">
      <c r="A564" s="296">
        <v>27814</v>
      </c>
      <c r="B564" s="479" t="s">
        <v>645</v>
      </c>
    </row>
    <row r="565" spans="1:2">
      <c r="A565" s="298">
        <v>33493</v>
      </c>
      <c r="B565" s="480" t="s">
        <v>1436</v>
      </c>
    </row>
    <row r="566" spans="1:2">
      <c r="A566" s="298">
        <v>33754</v>
      </c>
      <c r="B566" s="480" t="s">
        <v>1765</v>
      </c>
    </row>
    <row r="567" spans="1:2">
      <c r="A567" s="298">
        <v>29360</v>
      </c>
      <c r="B567" s="480" t="s">
        <v>1373</v>
      </c>
    </row>
    <row r="568" spans="1:2">
      <c r="A568" s="296">
        <v>28345</v>
      </c>
      <c r="B568" s="479" t="s">
        <v>1374</v>
      </c>
    </row>
    <row r="569" spans="1:2">
      <c r="A569" s="296">
        <v>27913</v>
      </c>
      <c r="B569" s="479" t="s">
        <v>1375</v>
      </c>
    </row>
    <row r="570" spans="1:2">
      <c r="A570" s="298">
        <v>33214</v>
      </c>
      <c r="B570" s="297" t="s">
        <v>282</v>
      </c>
    </row>
    <row r="571" spans="1:2">
      <c r="A571" s="302">
        <v>22736</v>
      </c>
      <c r="B571" s="301" t="s">
        <v>2070</v>
      </c>
    </row>
    <row r="572" spans="1:2">
      <c r="A572" s="298">
        <v>30881</v>
      </c>
      <c r="B572" s="297" t="s">
        <v>1378</v>
      </c>
    </row>
    <row r="573" spans="1:2">
      <c r="A573" s="298">
        <v>32369</v>
      </c>
      <c r="B573" s="297" t="s">
        <v>241</v>
      </c>
    </row>
    <row r="574" spans="1:2">
      <c r="A574" s="298">
        <v>28427</v>
      </c>
      <c r="B574" s="297" t="s">
        <v>1379</v>
      </c>
    </row>
    <row r="575" spans="1:2">
      <c r="A575" s="298">
        <v>28426</v>
      </c>
      <c r="B575" s="297" t="s">
        <v>1380</v>
      </c>
    </row>
    <row r="576" spans="1:2">
      <c r="A576" s="298">
        <v>31332</v>
      </c>
      <c r="B576" s="297" t="s">
        <v>1381</v>
      </c>
    </row>
    <row r="577" spans="1:2">
      <c r="A577" s="298">
        <v>35101</v>
      </c>
      <c r="B577" s="297" t="s">
        <v>2002</v>
      </c>
    </row>
    <row r="578" spans="1:2">
      <c r="A578" s="298">
        <v>34164</v>
      </c>
      <c r="B578" s="297" t="s">
        <v>986</v>
      </c>
    </row>
    <row r="579" spans="1:2">
      <c r="A579" s="296">
        <v>28267</v>
      </c>
      <c r="B579" s="295" t="s">
        <v>1382</v>
      </c>
    </row>
    <row r="580" spans="1:2">
      <c r="A580" s="298">
        <v>23540</v>
      </c>
      <c r="B580" s="297" t="s">
        <v>1383</v>
      </c>
    </row>
    <row r="581" spans="1:2">
      <c r="A581" s="298">
        <v>28425</v>
      </c>
      <c r="B581" s="297" t="s">
        <v>1384</v>
      </c>
    </row>
    <row r="582" spans="1:2">
      <c r="A582" s="298">
        <v>28295</v>
      </c>
      <c r="B582" s="297" t="s">
        <v>1385</v>
      </c>
    </row>
    <row r="583" spans="1:2">
      <c r="A583" s="296">
        <v>28952</v>
      </c>
      <c r="B583" s="295" t="s">
        <v>944</v>
      </c>
    </row>
    <row r="584" spans="1:2">
      <c r="A584" s="296">
        <v>28956</v>
      </c>
      <c r="B584" s="295" t="s">
        <v>945</v>
      </c>
    </row>
    <row r="585" spans="1:2">
      <c r="A585" s="298">
        <v>23054</v>
      </c>
      <c r="B585" s="297" t="s">
        <v>1386</v>
      </c>
    </row>
    <row r="586" spans="1:2">
      <c r="A586" s="298">
        <v>33388</v>
      </c>
      <c r="B586" s="297" t="s">
        <v>281</v>
      </c>
    </row>
    <row r="587" spans="1:2">
      <c r="A587" s="296">
        <v>28926</v>
      </c>
      <c r="B587" s="295" t="s">
        <v>947</v>
      </c>
    </row>
    <row r="588" spans="1:2">
      <c r="A588" s="296">
        <v>28937</v>
      </c>
      <c r="B588" s="295" t="s">
        <v>946</v>
      </c>
    </row>
    <row r="589" spans="1:2">
      <c r="A589" s="298">
        <v>29156</v>
      </c>
      <c r="B589" s="297" t="s">
        <v>1387</v>
      </c>
    </row>
    <row r="590" spans="1:2">
      <c r="A590" s="298">
        <v>30733</v>
      </c>
      <c r="B590" s="297" t="s">
        <v>1388</v>
      </c>
    </row>
    <row r="591" spans="1:2">
      <c r="A591" s="296">
        <v>30788</v>
      </c>
      <c r="B591" s="295" t="s">
        <v>1389</v>
      </c>
    </row>
    <row r="592" spans="1:2">
      <c r="A592" s="296">
        <v>34672</v>
      </c>
      <c r="B592" s="295" t="s">
        <v>972</v>
      </c>
    </row>
    <row r="593" spans="1:2">
      <c r="A593" s="298">
        <v>28749</v>
      </c>
      <c r="B593" s="297" t="s">
        <v>1390</v>
      </c>
    </row>
    <row r="594" spans="1:2">
      <c r="A594" s="296">
        <v>34703</v>
      </c>
      <c r="B594" s="295" t="s">
        <v>960</v>
      </c>
    </row>
    <row r="595" spans="1:2">
      <c r="A595" s="296">
        <v>28189</v>
      </c>
      <c r="B595" s="295" t="s">
        <v>1392</v>
      </c>
    </row>
    <row r="596" spans="1:2">
      <c r="A596" s="298">
        <v>32052</v>
      </c>
      <c r="B596" s="297" t="s">
        <v>1391</v>
      </c>
    </row>
    <row r="597" spans="1:2">
      <c r="A597" s="296">
        <v>27673</v>
      </c>
      <c r="B597" s="295" t="s">
        <v>1393</v>
      </c>
    </row>
    <row r="598" spans="1:2">
      <c r="A598" s="298">
        <v>34609</v>
      </c>
      <c r="B598" s="297" t="s">
        <v>1636</v>
      </c>
    </row>
    <row r="599" spans="1:2">
      <c r="A599" s="296">
        <v>28311</v>
      </c>
      <c r="B599" s="295" t="s">
        <v>1394</v>
      </c>
    </row>
    <row r="600" spans="1:2">
      <c r="A600" s="298">
        <v>28729</v>
      </c>
      <c r="B600" s="297" t="s">
        <v>1396</v>
      </c>
    </row>
    <row r="601" spans="1:2">
      <c r="A601" s="298">
        <v>30082</v>
      </c>
      <c r="B601" s="297" t="s">
        <v>1227</v>
      </c>
    </row>
    <row r="602" spans="1:2">
      <c r="A602" s="298">
        <v>23577</v>
      </c>
      <c r="B602" s="297" t="s">
        <v>1397</v>
      </c>
    </row>
    <row r="603" spans="1:2">
      <c r="A603" s="298">
        <v>29362</v>
      </c>
      <c r="B603" s="297" t="s">
        <v>1398</v>
      </c>
    </row>
    <row r="604" spans="1:2">
      <c r="A604" s="296">
        <v>34666</v>
      </c>
      <c r="B604" s="295" t="s">
        <v>973</v>
      </c>
    </row>
    <row r="605" spans="1:2">
      <c r="A605" s="298">
        <v>30874</v>
      </c>
      <c r="B605" s="297" t="s">
        <v>243</v>
      </c>
    </row>
    <row r="606" spans="1:2">
      <c r="A606" s="302">
        <v>19019</v>
      </c>
      <c r="B606" s="301" t="s">
        <v>1399</v>
      </c>
    </row>
    <row r="607" spans="1:2">
      <c r="A607" s="298">
        <v>33762</v>
      </c>
      <c r="B607" s="297" t="s">
        <v>1768</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898</v>
      </c>
    </row>
    <row r="613" spans="1:2">
      <c r="A613" s="298">
        <v>35076</v>
      </c>
      <c r="B613" s="297" t="s">
        <v>2003</v>
      </c>
    </row>
    <row r="614" spans="1:2">
      <c r="A614" s="298">
        <v>32946</v>
      </c>
      <c r="B614" s="297" t="s">
        <v>698</v>
      </c>
    </row>
    <row r="615" spans="1:2">
      <c r="A615" s="296">
        <v>27846</v>
      </c>
      <c r="B615" s="295" t="s">
        <v>899</v>
      </c>
    </row>
    <row r="616" spans="1:2">
      <c r="A616" s="296">
        <v>27533</v>
      </c>
      <c r="B616" s="295" t="s">
        <v>900</v>
      </c>
    </row>
    <row r="617" spans="1:2">
      <c r="A617" s="298">
        <v>28313</v>
      </c>
      <c r="B617" s="297" t="s">
        <v>901</v>
      </c>
    </row>
    <row r="618" spans="1:2">
      <c r="A618" s="296">
        <v>28953</v>
      </c>
      <c r="B618" s="295" t="s">
        <v>948</v>
      </c>
    </row>
    <row r="619" spans="1:2">
      <c r="A619" s="296">
        <v>28928</v>
      </c>
      <c r="B619" s="295" t="s">
        <v>949</v>
      </c>
    </row>
    <row r="620" spans="1:2">
      <c r="A620" s="298">
        <v>32028</v>
      </c>
      <c r="B620" s="297" t="s">
        <v>902</v>
      </c>
    </row>
    <row r="621" spans="1:2">
      <c r="A621" s="298">
        <v>33495</v>
      </c>
      <c r="B621" s="297" t="s">
        <v>279</v>
      </c>
    </row>
    <row r="622" spans="1:2">
      <c r="A622" s="296">
        <v>28392</v>
      </c>
      <c r="B622" s="295" t="s">
        <v>903</v>
      </c>
    </row>
    <row r="623" spans="1:2">
      <c r="A623" s="298">
        <v>32944</v>
      </c>
      <c r="B623" s="297" t="s">
        <v>904</v>
      </c>
    </row>
    <row r="624" spans="1:2">
      <c r="A624" s="298">
        <v>29348</v>
      </c>
      <c r="B624" s="297" t="s">
        <v>905</v>
      </c>
    </row>
    <row r="625" spans="1:2">
      <c r="A625" s="298">
        <v>33737</v>
      </c>
      <c r="B625" s="297" t="s">
        <v>1767</v>
      </c>
    </row>
    <row r="626" spans="1:2">
      <c r="A626" s="298">
        <v>34893</v>
      </c>
      <c r="B626" s="297" t="s">
        <v>1883</v>
      </c>
    </row>
    <row r="627" spans="1:2">
      <c r="A627" s="296">
        <v>32661</v>
      </c>
      <c r="B627" s="295" t="s">
        <v>1207</v>
      </c>
    </row>
    <row r="628" spans="1:2">
      <c r="A628" s="296">
        <v>27901</v>
      </c>
      <c r="B628" s="295" t="s">
        <v>1917</v>
      </c>
    </row>
    <row r="629" spans="1:2">
      <c r="A629" s="296">
        <v>28210</v>
      </c>
      <c r="B629" s="295" t="s">
        <v>912</v>
      </c>
    </row>
    <row r="630" spans="1:2">
      <c r="A630" s="298">
        <v>35071</v>
      </c>
      <c r="B630" s="297" t="s">
        <v>2000</v>
      </c>
    </row>
    <row r="631" spans="1:2">
      <c r="A631" s="298">
        <v>28438</v>
      </c>
      <c r="B631" s="297" t="s">
        <v>913</v>
      </c>
    </row>
    <row r="632" spans="1:2">
      <c r="A632" s="298">
        <v>28439</v>
      </c>
      <c r="B632" s="297" t="s">
        <v>914</v>
      </c>
    </row>
    <row r="633" spans="1:2">
      <c r="A633" s="298">
        <v>28437</v>
      </c>
      <c r="B633" s="297" t="s">
        <v>915</v>
      </c>
    </row>
    <row r="634" spans="1:2">
      <c r="A634" s="298">
        <v>28657</v>
      </c>
      <c r="B634" s="297" t="s">
        <v>231</v>
      </c>
    </row>
    <row r="635" spans="1:2">
      <c r="A635" s="298">
        <v>28305</v>
      </c>
      <c r="B635" s="297" t="s">
        <v>232</v>
      </c>
    </row>
    <row r="636" spans="1:2">
      <c r="A636" s="296">
        <v>28950</v>
      </c>
      <c r="B636" s="295" t="s">
        <v>952</v>
      </c>
    </row>
    <row r="637" spans="1:2">
      <c r="A637" s="296">
        <v>28951</v>
      </c>
      <c r="B637" s="295" t="s">
        <v>953</v>
      </c>
    </row>
    <row r="638" spans="1:2">
      <c r="A638" s="296">
        <v>28924</v>
      </c>
      <c r="B638" s="295" t="s">
        <v>954</v>
      </c>
    </row>
    <row r="639" spans="1:2">
      <c r="A639" s="296">
        <v>28925</v>
      </c>
      <c r="B639" s="295" t="s">
        <v>855</v>
      </c>
    </row>
    <row r="640" spans="1:2">
      <c r="A640" s="298">
        <v>30058</v>
      </c>
      <c r="B640" s="297" t="s">
        <v>618</v>
      </c>
    </row>
    <row r="641" spans="1:2">
      <c r="A641" s="298">
        <v>32026</v>
      </c>
      <c r="B641" s="297" t="s">
        <v>233</v>
      </c>
    </row>
    <row r="642" spans="1:2">
      <c r="A642" s="298">
        <v>29996</v>
      </c>
      <c r="B642" s="297" t="s">
        <v>813</v>
      </c>
    </row>
    <row r="643" spans="1:2">
      <c r="A643" s="298">
        <v>23544</v>
      </c>
      <c r="B643" s="297" t="s">
        <v>234</v>
      </c>
    </row>
    <row r="644" spans="1:2">
      <c r="A644" s="298">
        <v>32943</v>
      </c>
      <c r="B644" s="297" t="s">
        <v>1627</v>
      </c>
    </row>
    <row r="645" spans="1:2">
      <c r="A645" s="298">
        <v>32262</v>
      </c>
      <c r="B645" s="297" t="s">
        <v>529</v>
      </c>
    </row>
    <row r="646" spans="1:2">
      <c r="A646" s="296">
        <v>32536</v>
      </c>
      <c r="B646" s="295" t="s">
        <v>1233</v>
      </c>
    </row>
    <row r="647" spans="1:2">
      <c r="A647" s="296">
        <v>32536</v>
      </c>
      <c r="B647" s="295" t="s">
        <v>1234</v>
      </c>
    </row>
    <row r="648" spans="1:2">
      <c r="A648" s="296">
        <v>32536</v>
      </c>
      <c r="B648" s="295" t="s">
        <v>1235</v>
      </c>
    </row>
    <row r="649" spans="1:2">
      <c r="A649" s="296">
        <v>32536</v>
      </c>
      <c r="B649" s="295" t="s">
        <v>1236</v>
      </c>
    </row>
    <row r="650" spans="1:2">
      <c r="A650" s="296">
        <v>27980</v>
      </c>
      <c r="B650" s="295" t="s">
        <v>235</v>
      </c>
    </row>
    <row r="651" spans="1:2">
      <c r="A651" s="296">
        <v>27476</v>
      </c>
      <c r="B651" s="295" t="s">
        <v>236</v>
      </c>
    </row>
    <row r="652" spans="1:2">
      <c r="A652" s="298">
        <v>33733</v>
      </c>
      <c r="B652" s="297" t="s">
        <v>1766</v>
      </c>
    </row>
    <row r="653" spans="1:2">
      <c r="A653" s="300" t="s">
        <v>1934</v>
      </c>
      <c r="B653" s="300" t="s">
        <v>1740</v>
      </c>
    </row>
    <row r="654" spans="1:2">
      <c r="A654" s="298">
        <v>34894</v>
      </c>
      <c r="B654" s="480" t="s">
        <v>425</v>
      </c>
    </row>
    <row r="655" spans="1:2">
      <c r="A655" s="298">
        <v>28572</v>
      </c>
      <c r="B655" s="480" t="s">
        <v>2271</v>
      </c>
    </row>
    <row r="656" spans="1:2">
      <c r="A656" s="296">
        <v>34665</v>
      </c>
      <c r="B656" s="479" t="s">
        <v>971</v>
      </c>
    </row>
    <row r="657" spans="1:2">
      <c r="A657" s="298">
        <v>30901</v>
      </c>
      <c r="B657" s="480" t="s">
        <v>2279</v>
      </c>
    </row>
    <row r="658" spans="1:2">
      <c r="A658" s="298">
        <v>35058</v>
      </c>
      <c r="B658" s="480" t="s">
        <v>1997</v>
      </c>
    </row>
    <row r="659" spans="1:2">
      <c r="A659" s="298">
        <v>35093</v>
      </c>
      <c r="B659" s="480" t="s">
        <v>1998</v>
      </c>
    </row>
    <row r="660" spans="1:2">
      <c r="A660" s="298">
        <v>35095</v>
      </c>
      <c r="B660" s="480" t="s">
        <v>1999</v>
      </c>
    </row>
    <row r="661" spans="1:2">
      <c r="A661" s="296">
        <v>31305</v>
      </c>
      <c r="B661" s="479" t="s">
        <v>2281</v>
      </c>
    </row>
    <row r="662" spans="1:2">
      <c r="A662" s="298">
        <v>34329</v>
      </c>
      <c r="B662" s="297" t="s">
        <v>988</v>
      </c>
    </row>
    <row r="663" spans="1:2">
      <c r="A663" s="296">
        <v>32659</v>
      </c>
      <c r="B663" s="479" t="s">
        <v>646</v>
      </c>
    </row>
    <row r="664" spans="1:2">
      <c r="A664" s="298">
        <v>33389</v>
      </c>
      <c r="B664" s="480" t="s">
        <v>1663</v>
      </c>
    </row>
    <row r="665" spans="1:2">
      <c r="A665" s="298">
        <v>23555</v>
      </c>
      <c r="B665" s="480" t="s">
        <v>444</v>
      </c>
    </row>
    <row r="666" spans="1:2">
      <c r="A666" s="298">
        <v>34606</v>
      </c>
      <c r="B666" s="480" t="s">
        <v>1142</v>
      </c>
    </row>
    <row r="667" spans="1:2">
      <c r="A667" s="298">
        <v>28524</v>
      </c>
      <c r="B667" s="480" t="s">
        <v>446</v>
      </c>
    </row>
    <row r="668" spans="1:2">
      <c r="A668" s="298">
        <v>34165</v>
      </c>
      <c r="B668" s="480" t="s">
        <v>987</v>
      </c>
    </row>
    <row r="669" spans="1:2">
      <c r="A669" s="298">
        <v>30103</v>
      </c>
      <c r="B669" s="480" t="s">
        <v>447</v>
      </c>
    </row>
    <row r="670" spans="1:2">
      <c r="A670" s="298">
        <v>29346</v>
      </c>
      <c r="B670" s="480" t="s">
        <v>1735</v>
      </c>
    </row>
    <row r="671" spans="1:2">
      <c r="A671" s="298">
        <v>28312</v>
      </c>
      <c r="B671" s="480" t="s">
        <v>1737</v>
      </c>
    </row>
    <row r="672" spans="1:2">
      <c r="A672" s="298">
        <v>28310</v>
      </c>
      <c r="B672" s="480" t="s">
        <v>237</v>
      </c>
    </row>
    <row r="673" spans="1:2">
      <c r="A673" s="296">
        <v>28954</v>
      </c>
      <c r="B673" s="479" t="s">
        <v>940</v>
      </c>
    </row>
    <row r="674" spans="1:2">
      <c r="A674" s="296">
        <v>28955</v>
      </c>
      <c r="B674" s="479" t="s">
        <v>941</v>
      </c>
    </row>
    <row r="675" spans="1:2">
      <c r="A675" s="298">
        <v>29121</v>
      </c>
      <c r="B675" s="480" t="s">
        <v>1738</v>
      </c>
    </row>
    <row r="676" spans="1:2">
      <c r="A676" s="298">
        <v>29962</v>
      </c>
      <c r="B676" s="480" t="s">
        <v>648</v>
      </c>
    </row>
    <row r="677" spans="1:2">
      <c r="A677" s="296">
        <v>28929</v>
      </c>
      <c r="B677" s="479" t="s">
        <v>942</v>
      </c>
    </row>
    <row r="678" spans="1:2">
      <c r="A678" s="296">
        <v>28930</v>
      </c>
      <c r="B678" s="479" t="s">
        <v>943</v>
      </c>
    </row>
    <row r="679" spans="1:2">
      <c r="A679" s="296">
        <v>28416</v>
      </c>
      <c r="B679" s="479" t="s">
        <v>649</v>
      </c>
    </row>
    <row r="680" spans="1:2">
      <c r="A680" s="302">
        <v>30312</v>
      </c>
      <c r="B680" s="481" t="s">
        <v>651</v>
      </c>
    </row>
    <row r="681" spans="1:2">
      <c r="A681" s="298">
        <v>22802</v>
      </c>
      <c r="B681" s="480" t="s">
        <v>652</v>
      </c>
    </row>
    <row r="682" spans="1:2">
      <c r="A682" s="298">
        <v>28768</v>
      </c>
      <c r="B682" s="480" t="s">
        <v>653</v>
      </c>
    </row>
    <row r="683" spans="1:2">
      <c r="A683" s="298">
        <v>32044</v>
      </c>
      <c r="B683" s="480" t="s">
        <v>654</v>
      </c>
    </row>
    <row r="684" spans="1:2">
      <c r="A684" s="298">
        <v>32046</v>
      </c>
      <c r="B684" s="480" t="s">
        <v>238</v>
      </c>
    </row>
    <row r="685" spans="1:2">
      <c r="A685" s="298">
        <v>32269</v>
      </c>
      <c r="B685" s="480" t="s">
        <v>239</v>
      </c>
    </row>
    <row r="686" spans="1:2">
      <c r="A686" s="298">
        <v>33298</v>
      </c>
      <c r="B686" s="480" t="s">
        <v>1531</v>
      </c>
    </row>
    <row r="687" spans="1:2">
      <c r="A687" s="298">
        <v>29125</v>
      </c>
      <c r="B687" s="480" t="s">
        <v>655</v>
      </c>
    </row>
    <row r="688" spans="1:2">
      <c r="A688" s="298">
        <v>29182</v>
      </c>
      <c r="B688" s="480" t="s">
        <v>1352</v>
      </c>
    </row>
    <row r="689" spans="1:2">
      <c r="A689" s="298">
        <v>29275</v>
      </c>
      <c r="B689" s="480" t="s">
        <v>240</v>
      </c>
    </row>
    <row r="690" spans="1:2">
      <c r="A690" s="298">
        <v>32471</v>
      </c>
      <c r="B690" s="480" t="s">
        <v>1353</v>
      </c>
    </row>
    <row r="691" spans="1:2">
      <c r="A691" s="298">
        <v>34197</v>
      </c>
      <c r="B691" s="480" t="s">
        <v>989</v>
      </c>
    </row>
    <row r="692" spans="1:2">
      <c r="A692" s="298">
        <v>34949</v>
      </c>
      <c r="B692" s="480" t="s">
        <v>427</v>
      </c>
    </row>
    <row r="693" spans="1:2">
      <c r="A693" s="296">
        <v>27463</v>
      </c>
      <c r="B693" s="479" t="s">
        <v>854</v>
      </c>
    </row>
    <row r="694" spans="1:2">
      <c r="A694" s="298">
        <v>34952</v>
      </c>
      <c r="B694" s="480" t="s">
        <v>428</v>
      </c>
    </row>
    <row r="695" spans="1:2">
      <c r="A695" s="298">
        <v>31331</v>
      </c>
      <c r="B695" s="480" t="s">
        <v>1370</v>
      </c>
    </row>
    <row r="696" spans="1:2">
      <c r="A696" s="296">
        <v>28226</v>
      </c>
      <c r="B696" s="479" t="s">
        <v>1371</v>
      </c>
    </row>
    <row r="697" spans="1:2">
      <c r="A697" s="298">
        <v>30865</v>
      </c>
      <c r="B697" s="480" t="s">
        <v>1372</v>
      </c>
    </row>
    <row r="698" spans="1:2">
      <c r="A698" s="296">
        <v>27814</v>
      </c>
      <c r="B698" s="479" t="s">
        <v>645</v>
      </c>
    </row>
    <row r="699" spans="1:2">
      <c r="A699" s="298">
        <v>33493</v>
      </c>
      <c r="B699" s="480" t="s">
        <v>1436</v>
      </c>
    </row>
    <row r="700" spans="1:2">
      <c r="A700" s="298">
        <v>33801</v>
      </c>
      <c r="B700" s="480" t="s">
        <v>1421</v>
      </c>
    </row>
    <row r="701" spans="1:2">
      <c r="A701" s="298">
        <v>33754</v>
      </c>
      <c r="B701" s="480" t="s">
        <v>1765</v>
      </c>
    </row>
    <row r="702" spans="1:2">
      <c r="A702" s="298">
        <v>33756</v>
      </c>
      <c r="B702" s="480" t="s">
        <v>1764</v>
      </c>
    </row>
    <row r="703" spans="1:2">
      <c r="A703" s="298">
        <v>29360</v>
      </c>
      <c r="B703" s="480" t="s">
        <v>1373</v>
      </c>
    </row>
    <row r="704" spans="1:2">
      <c r="A704" s="296">
        <v>28345</v>
      </c>
      <c r="B704" s="479" t="s">
        <v>1374</v>
      </c>
    </row>
    <row r="705" spans="1:2">
      <c r="A705" s="296">
        <v>27913</v>
      </c>
      <c r="B705" s="479" t="s">
        <v>1375</v>
      </c>
    </row>
    <row r="706" spans="1:2">
      <c r="A706" s="298">
        <v>33214</v>
      </c>
      <c r="B706" s="297" t="s">
        <v>282</v>
      </c>
    </row>
    <row r="707" spans="1:2">
      <c r="A707" s="298">
        <v>30881</v>
      </c>
      <c r="B707" s="297" t="s">
        <v>1378</v>
      </c>
    </row>
    <row r="708" spans="1:2">
      <c r="A708" s="298">
        <v>32369</v>
      </c>
      <c r="B708" s="297" t="s">
        <v>241</v>
      </c>
    </row>
    <row r="709" spans="1:2">
      <c r="A709" s="298">
        <v>28427</v>
      </c>
      <c r="B709" s="297" t="s">
        <v>1379</v>
      </c>
    </row>
    <row r="710" spans="1:2">
      <c r="A710" s="298">
        <v>28426</v>
      </c>
      <c r="B710" s="297" t="s">
        <v>1380</v>
      </c>
    </row>
    <row r="711" spans="1:2">
      <c r="A711" s="298">
        <v>31332</v>
      </c>
      <c r="B711" s="297" t="s">
        <v>1381</v>
      </c>
    </row>
    <row r="712" spans="1:2">
      <c r="A712" s="298">
        <v>35072</v>
      </c>
      <c r="B712" s="297" t="s">
        <v>2001</v>
      </c>
    </row>
    <row r="713" spans="1:2">
      <c r="A713" s="298">
        <v>35101</v>
      </c>
      <c r="B713" s="297" t="s">
        <v>2002</v>
      </c>
    </row>
    <row r="714" spans="1:2">
      <c r="A714" s="298">
        <v>34164</v>
      </c>
      <c r="B714" s="297" t="s">
        <v>986</v>
      </c>
    </row>
    <row r="715" spans="1:2">
      <c r="A715" s="296">
        <v>28267</v>
      </c>
      <c r="B715" s="295" t="s">
        <v>1382</v>
      </c>
    </row>
    <row r="716" spans="1:2">
      <c r="A716" s="298">
        <v>23540</v>
      </c>
      <c r="B716" s="297" t="s">
        <v>1383</v>
      </c>
    </row>
    <row r="717" spans="1:2">
      <c r="A717" s="298">
        <v>28425</v>
      </c>
      <c r="B717" s="297" t="s">
        <v>1384</v>
      </c>
    </row>
    <row r="718" spans="1:2">
      <c r="A718" s="298">
        <v>28307</v>
      </c>
      <c r="B718" s="297" t="s">
        <v>242</v>
      </c>
    </row>
    <row r="719" spans="1:2">
      <c r="A719" s="298">
        <v>28295</v>
      </c>
      <c r="B719" s="297" t="s">
        <v>1385</v>
      </c>
    </row>
    <row r="720" spans="1:2">
      <c r="A720" s="296">
        <v>28952</v>
      </c>
      <c r="B720" s="295" t="s">
        <v>944</v>
      </c>
    </row>
    <row r="721" spans="1:2">
      <c r="A721" s="296">
        <v>28956</v>
      </c>
      <c r="B721" s="295" t="s">
        <v>945</v>
      </c>
    </row>
    <row r="722" spans="1:2">
      <c r="A722" s="298">
        <v>23054</v>
      </c>
      <c r="B722" s="297" t="s">
        <v>1386</v>
      </c>
    </row>
    <row r="723" spans="1:2">
      <c r="A723" s="298">
        <v>33388</v>
      </c>
      <c r="B723" s="297" t="s">
        <v>281</v>
      </c>
    </row>
    <row r="724" spans="1:2">
      <c r="A724" s="296">
        <v>28926</v>
      </c>
      <c r="B724" s="295" t="s">
        <v>947</v>
      </c>
    </row>
    <row r="725" spans="1:2">
      <c r="A725" s="296">
        <v>28937</v>
      </c>
      <c r="B725" s="295" t="s">
        <v>946</v>
      </c>
    </row>
    <row r="726" spans="1:2">
      <c r="A726" s="298">
        <v>29156</v>
      </c>
      <c r="B726" s="297" t="s">
        <v>1387</v>
      </c>
    </row>
    <row r="727" spans="1:2">
      <c r="A727" s="298">
        <v>30733</v>
      </c>
      <c r="B727" s="297" t="s">
        <v>1388</v>
      </c>
    </row>
    <row r="728" spans="1:2">
      <c r="A728" s="296">
        <v>34672</v>
      </c>
      <c r="B728" s="295" t="s">
        <v>972</v>
      </c>
    </row>
    <row r="729" spans="1:2">
      <c r="A729" s="298">
        <v>28749</v>
      </c>
      <c r="B729" s="297" t="s">
        <v>1390</v>
      </c>
    </row>
    <row r="730" spans="1:2">
      <c r="A730" s="296">
        <v>34703</v>
      </c>
      <c r="B730" s="295" t="s">
        <v>960</v>
      </c>
    </row>
    <row r="731" spans="1:2">
      <c r="A731" s="296">
        <v>28189</v>
      </c>
      <c r="B731" s="295" t="s">
        <v>1392</v>
      </c>
    </row>
    <row r="732" spans="1:2">
      <c r="A732" s="298">
        <v>32027</v>
      </c>
      <c r="B732" s="297" t="s">
        <v>522</v>
      </c>
    </row>
    <row r="733" spans="1:2">
      <c r="A733" s="298">
        <v>32052</v>
      </c>
      <c r="B733" s="297" t="s">
        <v>1391</v>
      </c>
    </row>
    <row r="734" spans="1:2">
      <c r="A734" s="296">
        <v>27673</v>
      </c>
      <c r="B734" s="295" t="s">
        <v>1393</v>
      </c>
    </row>
    <row r="735" spans="1:2">
      <c r="A735" s="298">
        <v>34609</v>
      </c>
      <c r="B735" s="297" t="s">
        <v>1636</v>
      </c>
    </row>
    <row r="736" spans="1:2">
      <c r="A736" s="296">
        <v>28311</v>
      </c>
      <c r="B736" s="295" t="s">
        <v>1394</v>
      </c>
    </row>
    <row r="737" spans="1:2">
      <c r="A737" s="298">
        <v>28729</v>
      </c>
      <c r="B737" s="297" t="s">
        <v>1396</v>
      </c>
    </row>
    <row r="738" spans="1:2">
      <c r="A738" s="298">
        <v>30082</v>
      </c>
      <c r="B738" s="297" t="s">
        <v>1227</v>
      </c>
    </row>
    <row r="739" spans="1:2">
      <c r="A739" s="298">
        <v>23577</v>
      </c>
      <c r="B739" s="297" t="s">
        <v>1397</v>
      </c>
    </row>
    <row r="740" spans="1:2">
      <c r="A740" s="298">
        <v>29362</v>
      </c>
      <c r="B740" s="297" t="s">
        <v>1398</v>
      </c>
    </row>
    <row r="741" spans="1:2">
      <c r="A741" s="296">
        <v>34666</v>
      </c>
      <c r="B741" s="295" t="s">
        <v>973</v>
      </c>
    </row>
    <row r="742" spans="1:2">
      <c r="A742" s="298">
        <v>30874</v>
      </c>
      <c r="B742" s="297" t="s">
        <v>243</v>
      </c>
    </row>
    <row r="743" spans="1:2">
      <c r="A743" s="302">
        <v>19019</v>
      </c>
      <c r="B743" s="301" t="s">
        <v>1399</v>
      </c>
    </row>
    <row r="744" spans="1:2">
      <c r="A744" s="298">
        <v>33734</v>
      </c>
      <c r="B744" s="297" t="s">
        <v>1761</v>
      </c>
    </row>
    <row r="745" spans="1:2">
      <c r="A745" s="298">
        <v>33762</v>
      </c>
      <c r="B745" s="297" t="s">
        <v>1768</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606</v>
      </c>
    </row>
    <row r="751" spans="1:2">
      <c r="A751" s="298">
        <v>35037</v>
      </c>
      <c r="B751" s="297" t="s">
        <v>1995</v>
      </c>
    </row>
    <row r="752" spans="1:2">
      <c r="A752" s="298">
        <v>35038</v>
      </c>
      <c r="B752" s="297" t="s">
        <v>1996</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950</v>
      </c>
    </row>
    <row r="759" spans="1:2">
      <c r="A759" s="298">
        <v>34203</v>
      </c>
      <c r="B759" s="297" t="s">
        <v>1678</v>
      </c>
    </row>
    <row r="760" spans="1:2">
      <c r="A760" s="296">
        <v>28922</v>
      </c>
      <c r="B760" s="295" t="s">
        <v>951</v>
      </c>
    </row>
    <row r="761" spans="1:2">
      <c r="A761" s="298">
        <v>32003</v>
      </c>
      <c r="B761" s="297" t="s">
        <v>247</v>
      </c>
    </row>
    <row r="762" spans="1:2">
      <c r="A762" s="298">
        <v>34346</v>
      </c>
      <c r="B762" s="297" t="s">
        <v>701</v>
      </c>
    </row>
    <row r="763" spans="1:2">
      <c r="A763" s="296">
        <v>28315</v>
      </c>
      <c r="B763" s="295" t="s">
        <v>1624</v>
      </c>
    </row>
    <row r="764" spans="1:2">
      <c r="A764" s="298">
        <v>34016</v>
      </c>
      <c r="B764" s="297" t="s">
        <v>113</v>
      </c>
    </row>
    <row r="765" spans="1:2">
      <c r="A765" s="298">
        <v>33705</v>
      </c>
      <c r="B765" s="297" t="s">
        <v>1762</v>
      </c>
    </row>
    <row r="766" spans="1:2">
      <c r="A766" s="298">
        <v>34951</v>
      </c>
      <c r="B766" s="297" t="s">
        <v>429</v>
      </c>
    </row>
    <row r="767" spans="1:2">
      <c r="A767" s="298">
        <v>34950</v>
      </c>
      <c r="B767" s="297" t="s">
        <v>1882</v>
      </c>
    </row>
    <row r="768" spans="1:2">
      <c r="A768" s="296">
        <v>32661</v>
      </c>
      <c r="B768" s="295" t="s">
        <v>1207</v>
      </c>
    </row>
    <row r="769" spans="1:2">
      <c r="A769" s="296">
        <v>27901</v>
      </c>
      <c r="B769" s="295" t="s">
        <v>1917</v>
      </c>
    </row>
    <row r="770" spans="1:2">
      <c r="A770" s="296">
        <v>28210</v>
      </c>
      <c r="B770" s="295" t="s">
        <v>912</v>
      </c>
    </row>
    <row r="771" spans="1:2">
      <c r="A771" s="298">
        <v>34988</v>
      </c>
      <c r="B771" s="297" t="s">
        <v>1994</v>
      </c>
    </row>
    <row r="772" spans="1:2">
      <c r="A772" s="298">
        <v>35071</v>
      </c>
      <c r="B772" s="297" t="s">
        <v>2000</v>
      </c>
    </row>
    <row r="773" spans="1:2">
      <c r="A773" s="298">
        <v>28657</v>
      </c>
      <c r="B773" s="297" t="s">
        <v>231</v>
      </c>
    </row>
    <row r="774" spans="1:2">
      <c r="A774" s="298">
        <v>28302</v>
      </c>
      <c r="B774" s="297" t="s">
        <v>1625</v>
      </c>
    </row>
    <row r="775" spans="1:2">
      <c r="A775" s="298">
        <v>28305</v>
      </c>
      <c r="B775" s="297" t="s">
        <v>232</v>
      </c>
    </row>
    <row r="776" spans="1:2">
      <c r="A776" s="296">
        <v>28950</v>
      </c>
      <c r="B776" s="295" t="s">
        <v>952</v>
      </c>
    </row>
    <row r="777" spans="1:2">
      <c r="A777" s="296">
        <v>28951</v>
      </c>
      <c r="B777" s="295" t="s">
        <v>953</v>
      </c>
    </row>
    <row r="778" spans="1:2">
      <c r="A778" s="296">
        <v>28924</v>
      </c>
      <c r="B778" s="295" t="s">
        <v>954</v>
      </c>
    </row>
    <row r="779" spans="1:2">
      <c r="A779" s="296">
        <v>28925</v>
      </c>
      <c r="B779" s="295" t="s">
        <v>855</v>
      </c>
    </row>
    <row r="780" spans="1:2">
      <c r="A780" s="298">
        <v>31958</v>
      </c>
      <c r="B780" s="297" t="s">
        <v>1626</v>
      </c>
    </row>
    <row r="781" spans="1:2">
      <c r="A781" s="298">
        <v>32026</v>
      </c>
      <c r="B781" s="297" t="s">
        <v>233</v>
      </c>
    </row>
    <row r="782" spans="1:2">
      <c r="A782" s="298">
        <v>29996</v>
      </c>
      <c r="B782" s="297" t="s">
        <v>813</v>
      </c>
    </row>
    <row r="783" spans="1:2">
      <c r="A783" s="298">
        <v>23544</v>
      </c>
      <c r="B783" s="297" t="s">
        <v>234</v>
      </c>
    </row>
    <row r="784" spans="1:2">
      <c r="A784" s="298">
        <v>32943</v>
      </c>
      <c r="B784" s="297" t="s">
        <v>1627</v>
      </c>
    </row>
    <row r="785" spans="1:2">
      <c r="A785" s="298">
        <v>32262</v>
      </c>
      <c r="B785" s="297" t="s">
        <v>529</v>
      </c>
    </row>
    <row r="786" spans="1:2">
      <c r="A786" s="296">
        <v>32536</v>
      </c>
      <c r="B786" s="295" t="s">
        <v>1233</v>
      </c>
    </row>
    <row r="787" spans="1:2">
      <c r="A787" s="296">
        <v>32536</v>
      </c>
      <c r="B787" s="295" t="s">
        <v>1234</v>
      </c>
    </row>
    <row r="788" spans="1:2">
      <c r="A788" s="296">
        <v>32536</v>
      </c>
      <c r="B788" s="295" t="s">
        <v>1235</v>
      </c>
    </row>
    <row r="789" spans="1:2">
      <c r="A789" s="296">
        <v>32536</v>
      </c>
      <c r="B789" s="295" t="s">
        <v>1236</v>
      </c>
    </row>
    <row r="790" spans="1:2">
      <c r="A790" s="296">
        <v>27980</v>
      </c>
      <c r="B790" s="295" t="s">
        <v>235</v>
      </c>
    </row>
    <row r="791" spans="1:2">
      <c r="A791" s="296">
        <v>27476</v>
      </c>
      <c r="B791" s="295" t="s">
        <v>236</v>
      </c>
    </row>
    <row r="792" spans="1:2">
      <c r="A792" s="298">
        <v>33662</v>
      </c>
      <c r="B792" s="297" t="s">
        <v>1763</v>
      </c>
    </row>
    <row r="793" spans="1:2">
      <c r="A793" s="298">
        <v>33733</v>
      </c>
      <c r="B793" s="297" t="s">
        <v>1766</v>
      </c>
    </row>
    <row r="794" spans="1:2">
      <c r="A794" s="308">
        <v>27507</v>
      </c>
      <c r="B794" s="670" t="s">
        <v>49</v>
      </c>
    </row>
    <row r="795" spans="1:2">
      <c r="A795" s="258">
        <v>33474</v>
      </c>
      <c r="B795" s="671" t="s">
        <v>1563</v>
      </c>
    </row>
    <row r="796" spans="1:2">
      <c r="A796" s="258">
        <v>29949</v>
      </c>
      <c r="B796" s="671" t="s">
        <v>1628</v>
      </c>
    </row>
    <row r="797" spans="1:2">
      <c r="A797" s="258">
        <v>30724</v>
      </c>
      <c r="B797" s="671" t="s">
        <v>2209</v>
      </c>
    </row>
    <row r="798" spans="1:2">
      <c r="A798" s="258">
        <v>34349</v>
      </c>
      <c r="B798" s="671" t="s">
        <v>1635</v>
      </c>
    </row>
    <row r="799" spans="1:2">
      <c r="A799" s="258">
        <v>35108</v>
      </c>
      <c r="B799" s="671" t="s">
        <v>2004</v>
      </c>
    </row>
    <row r="800" spans="1:2">
      <c r="A800" s="258">
        <v>34892</v>
      </c>
      <c r="B800" s="671" t="s">
        <v>426</v>
      </c>
    </row>
    <row r="801" spans="1:2">
      <c r="A801" s="258">
        <v>32645</v>
      </c>
      <c r="B801" s="671" t="s">
        <v>50</v>
      </c>
    </row>
    <row r="802" spans="1:2">
      <c r="A802" s="258">
        <v>34603</v>
      </c>
      <c r="B802" s="671" t="s">
        <v>1141</v>
      </c>
    </row>
    <row r="803" spans="1:2">
      <c r="A803" s="308">
        <v>29204</v>
      </c>
      <c r="B803" s="670" t="s">
        <v>1629</v>
      </c>
    </row>
    <row r="804" spans="1:2">
      <c r="A804" s="309">
        <v>29211</v>
      </c>
      <c r="B804" s="672" t="s">
        <v>1630</v>
      </c>
    </row>
    <row r="805" spans="1:2">
      <c r="A805" s="258">
        <v>28319</v>
      </c>
      <c r="B805" s="671" t="s">
        <v>1931</v>
      </c>
    </row>
    <row r="806" spans="1:2">
      <c r="A806" s="258">
        <v>34196</v>
      </c>
      <c r="B806" s="671" t="s">
        <v>630</v>
      </c>
    </row>
    <row r="807" spans="1:2">
      <c r="A807" s="258">
        <v>32756</v>
      </c>
      <c r="B807" s="671" t="s">
        <v>858</v>
      </c>
    </row>
    <row r="808" spans="1:2">
      <c r="A808" s="258">
        <v>32253</v>
      </c>
      <c r="B808" s="671" t="s">
        <v>859</v>
      </c>
    </row>
    <row r="809" spans="1:2">
      <c r="A809" s="309">
        <v>30279</v>
      </c>
      <c r="B809" s="672" t="s">
        <v>1932</v>
      </c>
    </row>
    <row r="810" spans="1:2">
      <c r="A810" s="258">
        <v>29152</v>
      </c>
      <c r="B810" s="671" t="s">
        <v>1933</v>
      </c>
    </row>
    <row r="811" spans="1:2">
      <c r="A811" s="258">
        <v>32054</v>
      </c>
      <c r="B811" s="671" t="s">
        <v>1147</v>
      </c>
    </row>
    <row r="812" spans="1:2">
      <c r="A812" s="308">
        <v>34783</v>
      </c>
      <c r="B812" s="670" t="s">
        <v>1028</v>
      </c>
    </row>
    <row r="813" spans="1:2">
      <c r="A813" s="308">
        <v>23748</v>
      </c>
      <c r="B813" s="670" t="s">
        <v>1148</v>
      </c>
    </row>
    <row r="814" spans="1:2">
      <c r="A814" s="258">
        <v>30105</v>
      </c>
      <c r="B814" s="671" t="s">
        <v>692</v>
      </c>
    </row>
    <row r="815" spans="1:2">
      <c r="A815" s="258">
        <v>30025</v>
      </c>
      <c r="B815" s="671" t="s">
        <v>1149</v>
      </c>
    </row>
    <row r="816" spans="1:2">
      <c r="A816" s="308">
        <v>27916</v>
      </c>
      <c r="B816" s="670" t="s">
        <v>1150</v>
      </c>
    </row>
    <row r="817" spans="1:2">
      <c r="A817" s="258">
        <v>28826</v>
      </c>
      <c r="B817" s="671" t="s">
        <v>1151</v>
      </c>
    </row>
    <row r="818" spans="1:2">
      <c r="A818" s="308">
        <v>27526</v>
      </c>
      <c r="B818" s="670" t="s">
        <v>551</v>
      </c>
    </row>
    <row r="819" spans="1:2">
      <c r="A819" s="258">
        <v>34622</v>
      </c>
      <c r="B819" s="671" t="s">
        <v>290</v>
      </c>
    </row>
    <row r="820" spans="1:2">
      <c r="A820" s="258">
        <v>28504</v>
      </c>
      <c r="B820" s="671" t="s">
        <v>552</v>
      </c>
    </row>
    <row r="821" spans="1:2">
      <c r="A821" s="258">
        <v>28772</v>
      </c>
      <c r="B821" s="671" t="s">
        <v>553</v>
      </c>
    </row>
    <row r="822" spans="1:2">
      <c r="A822" s="308">
        <v>28286</v>
      </c>
      <c r="B822" s="670" t="s">
        <v>2066</v>
      </c>
    </row>
    <row r="823" spans="1:2">
      <c r="A823" s="236">
        <v>34334</v>
      </c>
      <c r="B823" s="294" t="s">
        <v>984</v>
      </c>
    </row>
    <row r="824" spans="1:2">
      <c r="A824" s="308">
        <v>34674</v>
      </c>
      <c r="B824" s="670" t="s">
        <v>974</v>
      </c>
    </row>
    <row r="825" spans="1:2">
      <c r="A825" s="258">
        <v>33491</v>
      </c>
      <c r="B825" s="671" t="s">
        <v>1435</v>
      </c>
    </row>
    <row r="826" spans="1:2">
      <c r="A826" s="258">
        <v>32326</v>
      </c>
      <c r="B826" s="671" t="s">
        <v>2067</v>
      </c>
    </row>
    <row r="827" spans="1:2">
      <c r="A827" s="258">
        <v>33765</v>
      </c>
      <c r="B827" s="671" t="s">
        <v>547</v>
      </c>
    </row>
    <row r="828" spans="1:2">
      <c r="A828" s="258">
        <v>29151</v>
      </c>
      <c r="B828" s="671" t="s">
        <v>2068</v>
      </c>
    </row>
    <row r="829" spans="1:2">
      <c r="A829" s="258">
        <v>28581</v>
      </c>
      <c r="B829" s="671" t="s">
        <v>2224</v>
      </c>
    </row>
    <row r="830" spans="1:2">
      <c r="A830" s="258">
        <v>29351</v>
      </c>
      <c r="B830" s="671" t="s">
        <v>2225</v>
      </c>
    </row>
    <row r="831" spans="1:2">
      <c r="A831" s="258">
        <v>28659</v>
      </c>
      <c r="B831" s="671"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7">
        <v>1759.6266388076999</v>
      </c>
      <c r="C1" s="25"/>
      <c r="E1" t="s">
        <v>3106</v>
      </c>
      <c r="H1" t="s">
        <v>766</v>
      </c>
    </row>
    <row r="2" spans="1:8">
      <c r="A2" s="1344"/>
      <c r="B2" s="1345"/>
    </row>
    <row r="3" spans="1:8">
      <c r="A3" s="1344" t="s">
        <v>3117</v>
      </c>
      <c r="B3" s="897">
        <v>1759.9839688335551</v>
      </c>
      <c r="E3" s="897">
        <f t="shared" ref="E3:E9" si="0">$B3-$B$1</f>
        <v>0.3573300258551626</v>
      </c>
      <c r="F3" s="25"/>
      <c r="H3" s="897">
        <f t="shared" ref="H3:H9" si="1">$E3/$E$4</f>
        <v>0.43196864930599316</v>
      </c>
    </row>
    <row r="4" spans="1:8">
      <c r="A4" s="1344" t="s">
        <v>3118</v>
      </c>
      <c r="B4" s="897">
        <v>1760.4538516770349</v>
      </c>
      <c r="E4" s="897">
        <f t="shared" si="0"/>
        <v>0.8272128693349714</v>
      </c>
      <c r="F4" s="25"/>
      <c r="H4" s="897">
        <f t="shared" si="1"/>
        <v>1</v>
      </c>
    </row>
    <row r="5" spans="1:8">
      <c r="A5" s="1344" t="s">
        <v>3119</v>
      </c>
      <c r="B5" s="897">
        <v>1760.3124351132094</v>
      </c>
      <c r="E5" s="897">
        <f t="shared" si="0"/>
        <v>0.68579630550948423</v>
      </c>
      <c r="F5" s="25"/>
      <c r="H5" s="897">
        <f t="shared" si="1"/>
        <v>0.82904453125931488</v>
      </c>
    </row>
    <row r="6" spans="1:8">
      <c r="A6" s="1344" t="s">
        <v>3120</v>
      </c>
      <c r="B6" s="897">
        <v>1765.1766702748271</v>
      </c>
      <c r="E6" s="897">
        <f t="shared" si="0"/>
        <v>5.5500314671271553</v>
      </c>
      <c r="F6" s="25"/>
      <c r="H6" s="897">
        <f t="shared" si="1"/>
        <v>6.7093147034680944</v>
      </c>
    </row>
    <row r="7" spans="1:8">
      <c r="A7" s="1344" t="s">
        <v>3121</v>
      </c>
      <c r="B7" s="897">
        <v>1763.2980235467201</v>
      </c>
      <c r="E7" s="897">
        <f t="shared" si="0"/>
        <v>3.6713847390201408</v>
      </c>
      <c r="F7" s="25"/>
      <c r="H7" s="897">
        <f t="shared" si="1"/>
        <v>4.4382587301521434</v>
      </c>
    </row>
    <row r="8" spans="1:8">
      <c r="A8" s="1344" t="s">
        <v>3122</v>
      </c>
      <c r="B8" s="897">
        <v>1759.7495474090365</v>
      </c>
      <c r="E8" s="897">
        <f t="shared" si="0"/>
        <v>0.12290860133657588</v>
      </c>
      <c r="F8" s="25"/>
      <c r="H8" s="897">
        <f t="shared" si="1"/>
        <v>0.14858158751251888</v>
      </c>
    </row>
    <row r="9" spans="1:8">
      <c r="A9" s="1344" t="s">
        <v>3123</v>
      </c>
      <c r="B9" s="897">
        <v>1760.8052489540294</v>
      </c>
      <c r="E9" s="897">
        <f t="shared" si="0"/>
        <v>1.1786101463294472</v>
      </c>
      <c r="F9" s="25"/>
      <c r="H9" s="897">
        <f t="shared" si="1"/>
        <v>1.4247966757057076</v>
      </c>
    </row>
    <row r="10" spans="1:8">
      <c r="B10" s="897"/>
      <c r="E10" s="897"/>
      <c r="F10" s="25"/>
      <c r="H10" s="897"/>
    </row>
    <row r="11" spans="1:8">
      <c r="A11" s="1344" t="s">
        <v>3124</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295</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6">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6">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539</vt:i4>
      </vt:variant>
    </vt:vector>
  </HeadingPairs>
  <TitlesOfParts>
    <vt:vector size="576"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2021-06-06T11:30:44Z</dcterms:modified>
</cp:coreProperties>
</file>