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2D9F8DC6-7E8B-4E9F-8D44-BF4884EA038D}"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16" l="1"/>
  <c r="V4" i="16"/>
  <c r="V5" i="16" s="1"/>
  <c r="V8" i="16"/>
  <c r="V9" i="16"/>
  <c r="V10" i="16"/>
  <c r="V11" i="16"/>
  <c r="V13" i="16"/>
  <c r="V15" i="16"/>
  <c r="V17" i="16"/>
  <c r="V25" i="16"/>
  <c r="V26" i="16"/>
  <c r="V27" i="16"/>
  <c r="V28" i="16"/>
  <c r="V29" i="16"/>
  <c r="V31" i="16"/>
  <c r="V32" i="16"/>
  <c r="V34" i="16"/>
  <c r="V35" i="16"/>
  <c r="Y6" i="16"/>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V6" i="16" l="1"/>
  <c r="B110" i="34"/>
  <c r="V7" i="16" l="1"/>
  <c r="F14" i="27"/>
  <c r="V16" i="16" l="1"/>
  <c r="V14" i="16"/>
  <c r="V12" i="16"/>
  <c r="A282" i="30"/>
  <c r="A261" i="30"/>
  <c r="A211" i="30"/>
  <c r="A149" i="30"/>
  <c r="A120" i="30"/>
  <c r="A101" i="30"/>
  <c r="A55" i="30"/>
  <c r="X3" i="31"/>
  <c r="AB3" i="27"/>
  <c r="Y3" i="26"/>
  <c r="X3" i="25"/>
  <c r="X3" i="24"/>
  <c r="X3" i="23"/>
  <c r="X3" i="22"/>
  <c r="AD3" i="21"/>
  <c r="X3" i="20"/>
  <c r="X3" i="19"/>
  <c r="X3" i="18"/>
  <c r="X3" i="16"/>
  <c r="AB3" i="14"/>
  <c r="A78" i="14"/>
  <c r="A61" i="14"/>
  <c r="A46" i="14"/>
  <c r="A36" i="14"/>
  <c r="A20" i="14"/>
  <c r="A3" i="14"/>
  <c r="V18" i="16" l="1"/>
  <c r="B119" i="34"/>
  <c r="AR21" i="30"/>
  <c r="AR23" i="30"/>
  <c r="AG27" i="27"/>
  <c r="AH27" i="27"/>
  <c r="AI27" i="27"/>
  <c r="AJ27" i="27"/>
  <c r="AK27" i="27"/>
  <c r="AL27" i="27"/>
  <c r="AM27" i="27"/>
  <c r="AN27" i="27"/>
  <c r="AO27" i="27"/>
  <c r="AP27" i="27"/>
  <c r="AQ27" i="27"/>
  <c r="AR27" i="27"/>
  <c r="AS27" i="27"/>
  <c r="AT27" i="27"/>
  <c r="AU27" i="27"/>
  <c r="AV27" i="27"/>
  <c r="AW27" i="27"/>
  <c r="AX27" i="27"/>
  <c r="AY27" i="27"/>
  <c r="AZ27" i="27"/>
  <c r="D7" i="5"/>
  <c r="V19" i="16" l="1"/>
  <c r="AX22" i="30"/>
  <c r="AX23" i="30"/>
  <c r="AX24" i="30" s="1"/>
  <c r="AZ22" i="30"/>
  <c r="AR24" i="30"/>
  <c r="C71" i="5"/>
  <c r="C70" i="5"/>
  <c r="C68" i="5"/>
  <c r="C66" i="5"/>
  <c r="C62" i="5"/>
  <c r="C57" i="5"/>
  <c r="C54" i="5"/>
  <c r="C50" i="5"/>
  <c r="C47" i="5"/>
  <c r="C42" i="5"/>
  <c r="C39" i="5"/>
  <c r="C35" i="5"/>
  <c r="C32" i="5"/>
  <c r="C26" i="5"/>
  <c r="C22" i="5"/>
  <c r="V20" i="16" l="1"/>
  <c r="AZ23" i="30"/>
  <c r="AY26" i="30" s="1"/>
  <c r="AW21" i="30"/>
  <c r="AW22" i="30"/>
  <c r="AW23" i="30"/>
  <c r="V21" i="16" l="1"/>
  <c r="AY25" i="30"/>
  <c r="V22" i="16" l="1"/>
  <c r="V23" i="16" s="1"/>
  <c r="V24" i="16" s="1"/>
  <c r="V30" i="16" s="1"/>
  <c r="V33" i="16" s="1"/>
  <c r="V36" i="16" s="1"/>
  <c r="H7" i="7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7"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X6" i="16" l="1"/>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V37" i="16" l="1"/>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AE232" i="30" l="1"/>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AE233" i="30" l="1"/>
  <c r="AE234" i="30" s="1"/>
  <c r="AE235" i="30" s="1"/>
  <c r="AE236" i="30" s="1"/>
  <c r="AE238" i="30" s="1"/>
  <c r="AE240" i="30" s="1"/>
  <c r="AE244" i="30" s="1"/>
  <c r="AE246" i="30" s="1"/>
  <c r="AE247" i="30" s="1"/>
  <c r="AE249" i="30" s="1"/>
  <c r="AE250"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53" i="30" l="1"/>
  <c r="AE254" i="30" s="1"/>
  <c r="AE255" i="30" s="1"/>
  <c r="AE256" i="30" s="1"/>
  <c r="AE257" i="30" s="1"/>
  <c r="AE258" i="30" s="1"/>
  <c r="AE259" i="30" s="1"/>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AA57" i="70"/>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0" authorId="0" shapeId="0" xr:uid="{00000000-0006-0000-0100-000001000000}">
      <text>
        <r>
          <rPr>
            <b/>
            <sz val="8"/>
            <color indexed="81"/>
            <rFont val="Tahoma"/>
            <family val="2"/>
          </rPr>
          <t>Author:</t>
        </r>
        <r>
          <rPr>
            <sz val="8"/>
            <color indexed="81"/>
            <rFont val="Tahoma"/>
            <family val="2"/>
          </rPr>
          <t xml:space="preserve">
fixed
a small Mongoose bug</t>
        </r>
      </text>
    </comment>
    <comment ref="A581"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2"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3"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4"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5"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6"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7"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8"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9"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0"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1"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2"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3"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4"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5"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6"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7"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8"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9"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0"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1"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2"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3"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4"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5"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6"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7"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8"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9"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0"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1"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2"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3"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4"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5"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6"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7"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8"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9"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0"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1"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2"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3"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4"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5"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6"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7"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8"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9"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0"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1"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2"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3"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4"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5"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6"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7"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<sst xmlns="http://schemas.openxmlformats.org/spreadsheetml/2006/main" count="8537" uniqueCount="3255">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</sst>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9" t="s">
        <v>3032</v>
      </c>
      <c r="C2" s="1399"/>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7" t="s">
        <v>934</v>
      </c>
      <c r="C10" s="1398"/>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5" t="s">
        <v>2326</v>
      </c>
      <c r="C13" s="1387" t="s">
        <v>3228</v>
      </c>
    </row>
    <row r="14" spans="1:256" ht="22.5">
      <c r="B14" s="1395"/>
      <c r="C14" s="1387" t="s">
        <v>3229</v>
      </c>
    </row>
    <row r="15" spans="1:256" ht="22.5">
      <c r="B15" s="1395"/>
      <c r="C15" s="1387" t="s">
        <v>3230</v>
      </c>
    </row>
    <row r="16" spans="1:256">
      <c r="B16" s="1395"/>
      <c r="C16" s="1387" t="s">
        <v>3231</v>
      </c>
    </row>
    <row r="17" spans="2:3">
      <c r="B17" s="1395"/>
      <c r="C17" s="1387" t="s">
        <v>1899</v>
      </c>
    </row>
    <row r="18" spans="2:3" ht="35.25" customHeight="1">
      <c r="B18" s="1395"/>
      <c r="C18" s="1388" t="s">
        <v>3232</v>
      </c>
    </row>
    <row r="19" spans="2:3" ht="22.5">
      <c r="B19" s="1395"/>
      <c r="C19" s="1387" t="s">
        <v>3233</v>
      </c>
    </row>
    <row r="20" spans="2:3" ht="56.25">
      <c r="B20" s="1395"/>
      <c r="C20" s="1387" t="s">
        <v>3234</v>
      </c>
    </row>
    <row r="21" spans="2:3">
      <c r="B21" s="1396" t="s">
        <v>1898</v>
      </c>
      <c r="C21" s="1381" t="s">
        <v>3242</v>
      </c>
    </row>
    <row r="22" spans="2:3" ht="22.5">
      <c r="B22" s="1396"/>
      <c r="C22" s="1380" t="s">
        <v>3235</v>
      </c>
    </row>
    <row r="23" spans="2:3" ht="33.75">
      <c r="B23" s="1396"/>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4" t="s">
        <v>3227</v>
      </c>
      <c r="C64" s="1394"/>
      <c r="D64" s="1394"/>
      <c r="E64" s="1394"/>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7"/>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3253</v>
      </c>
    </row>
    <row r="8" spans="1:2">
      <c r="B8" s="9" t="s">
        <v>3254</v>
      </c>
    </row>
    <row r="9" spans="1:2">
      <c r="B9" s="9" t="s">
        <v>3251</v>
      </c>
    </row>
    <row r="11" spans="1:2">
      <c r="A11" s="9" t="s">
        <v>3205</v>
      </c>
      <c r="B11" s="9" t="s">
        <v>2330</v>
      </c>
    </row>
    <row r="12" spans="1:2">
      <c r="A12" s="9" t="s">
        <v>2215</v>
      </c>
      <c r="B12" s="9" t="s">
        <v>3009</v>
      </c>
    </row>
    <row r="13" spans="1:2">
      <c r="B13" s="9" t="s">
        <v>3008</v>
      </c>
    </row>
    <row r="14" spans="1:2">
      <c r="B14" s="48" t="s">
        <v>2406</v>
      </c>
    </row>
    <row r="15" spans="1:2">
      <c r="B15" s="650" t="s">
        <v>2413</v>
      </c>
    </row>
    <row r="16" spans="1:2">
      <c r="B16" s="650" t="s">
        <v>2991</v>
      </c>
    </row>
    <row r="17" spans="1:2">
      <c r="B17" s="650" t="s">
        <v>2862</v>
      </c>
    </row>
    <row r="18" spans="1:2">
      <c r="B18" s="650" t="s">
        <v>3023</v>
      </c>
    </row>
    <row r="19" spans="1:2">
      <c r="B19" s="650" t="s">
        <v>3038</v>
      </c>
    </row>
    <row r="20" spans="1:2">
      <c r="A20" s="2"/>
      <c r="B20" s="650" t="s">
        <v>2869</v>
      </c>
    </row>
    <row r="21" spans="1:2">
      <c r="A21" s="2"/>
      <c r="B21" s="650" t="s">
        <v>3039</v>
      </c>
    </row>
    <row r="22" spans="1:2">
      <c r="B22" s="650" t="s">
        <v>2888</v>
      </c>
    </row>
    <row r="23" spans="1:2">
      <c r="A23" s="9" t="s">
        <v>1584</v>
      </c>
      <c r="B23" s="9" t="s">
        <v>2331</v>
      </c>
    </row>
    <row r="24" spans="1:2">
      <c r="B24" s="9" t="s">
        <v>2407</v>
      </c>
    </row>
    <row r="25" spans="1:2">
      <c r="B25" s="9" t="s">
        <v>2425</v>
      </c>
    </row>
    <row r="26" spans="1:2">
      <c r="B26" s="9" t="s">
        <v>2863</v>
      </c>
    </row>
    <row r="27" spans="1:2">
      <c r="B27" s="9" t="s">
        <v>2879</v>
      </c>
    </row>
    <row r="28" spans="1:2">
      <c r="B28" s="9" t="s">
        <v>2882</v>
      </c>
    </row>
    <row r="29" spans="1:2">
      <c r="B29" s="9" t="s">
        <v>2987</v>
      </c>
    </row>
    <row r="30" spans="1:2">
      <c r="B30" s="9" t="s">
        <v>2988</v>
      </c>
    </row>
    <row r="31" spans="1:2">
      <c r="B31" s="9" t="s">
        <v>3018</v>
      </c>
    </row>
    <row r="32" spans="1:2">
      <c r="B32" s="9" t="s">
        <v>3019</v>
      </c>
    </row>
    <row r="33" spans="1:2">
      <c r="B33" s="9" t="s">
        <v>3020</v>
      </c>
    </row>
    <row r="34" spans="1:2">
      <c r="B34" s="9" t="s">
        <v>2989</v>
      </c>
    </row>
    <row r="35" spans="1:2">
      <c r="A35" s="9" t="s">
        <v>1857</v>
      </c>
      <c r="B35" s="9" t="s">
        <v>2990</v>
      </c>
    </row>
    <row r="36" spans="1:2">
      <c r="B36" s="9" t="s">
        <v>2867</v>
      </c>
    </row>
    <row r="37" spans="1:2">
      <c r="A37" s="9" t="s">
        <v>2071</v>
      </c>
      <c r="B37" s="9" t="s">
        <v>2333</v>
      </c>
    </row>
    <row r="38" spans="1:2">
      <c r="B38" s="9" t="s">
        <v>2424</v>
      </c>
    </row>
    <row r="40" spans="1:2">
      <c r="A40" s="9" t="s">
        <v>1851</v>
      </c>
    </row>
    <row r="41" spans="1:2">
      <c r="A41" s="9" t="s">
        <v>2332</v>
      </c>
    </row>
    <row r="42" spans="1:2">
      <c r="A42" s="9" t="s">
        <v>311</v>
      </c>
      <c r="B42" s="9" t="s">
        <v>2041</v>
      </c>
    </row>
    <row r="43" spans="1:2">
      <c r="A43" s="9" t="s">
        <v>2215</v>
      </c>
      <c r="B43" s="9" t="s">
        <v>1443</v>
      </c>
    </row>
    <row r="44" spans="1:2">
      <c r="B44" s="9" t="s">
        <v>1442</v>
      </c>
    </row>
    <row r="45" spans="1:2">
      <c r="B45" s="9" t="s">
        <v>65</v>
      </c>
    </row>
    <row r="46" spans="1:2">
      <c r="B46" s="9" t="s">
        <v>62</v>
      </c>
    </row>
    <row r="47" spans="1:2">
      <c r="B47" s="9" t="s">
        <v>60</v>
      </c>
    </row>
    <row r="48" spans="1:2">
      <c r="B48" s="9" t="s">
        <v>61</v>
      </c>
    </row>
    <row r="49" spans="1:2">
      <c r="B49" s="9" t="s">
        <v>64</v>
      </c>
    </row>
    <row r="50" spans="1:2">
      <c r="B50" s="9" t="s">
        <v>1730</v>
      </c>
    </row>
    <row r="51" spans="1:2">
      <c r="B51" s="9" t="s">
        <v>69</v>
      </c>
    </row>
    <row r="52" spans="1:2">
      <c r="B52" s="2" t="s">
        <v>2163</v>
      </c>
    </row>
    <row r="53" spans="1:2">
      <c r="B53" s="2" t="s">
        <v>2164</v>
      </c>
    </row>
    <row r="54" spans="1:2">
      <c r="B54" s="2" t="s">
        <v>67</v>
      </c>
    </row>
    <row r="55" spans="1:2">
      <c r="B55" s="9" t="s">
        <v>68</v>
      </c>
    </row>
    <row r="56" spans="1:2">
      <c r="B56" s="9" t="s">
        <v>1729</v>
      </c>
    </row>
    <row r="57" spans="1:2">
      <c r="B57" s="9" t="s">
        <v>73</v>
      </c>
    </row>
    <row r="58" spans="1:2">
      <c r="B58" s="9" t="s">
        <v>2165</v>
      </c>
    </row>
    <row r="59" spans="1:2">
      <c r="B59" s="9" t="s">
        <v>70</v>
      </c>
    </row>
    <row r="60" spans="1:2">
      <c r="B60" s="9" t="s">
        <v>2160</v>
      </c>
    </row>
    <row r="61" spans="1:2">
      <c r="B61" s="9" t="s">
        <v>790</v>
      </c>
    </row>
    <row r="62" spans="1:2">
      <c r="A62" s="9" t="s">
        <v>1857</v>
      </c>
      <c r="B62" s="9" t="s">
        <v>71</v>
      </c>
    </row>
    <row r="63" spans="1:2">
      <c r="B63" s="9" t="s">
        <v>1444</v>
      </c>
    </row>
    <row r="64" spans="1:2">
      <c r="B64" s="9" t="s">
        <v>66</v>
      </c>
    </row>
    <row r="65" spans="1:2">
      <c r="B65" s="9" t="s">
        <v>1731</v>
      </c>
    </row>
    <row r="66" spans="1:2">
      <c r="B66" s="9" t="s">
        <v>305</v>
      </c>
    </row>
    <row r="67" spans="1:2">
      <c r="B67" s="9" t="s">
        <v>788</v>
      </c>
    </row>
    <row r="68" spans="1:2">
      <c r="B68" s="9" t="s">
        <v>789</v>
      </c>
    </row>
    <row r="69" spans="1:2">
      <c r="B69" s="9" t="s">
        <v>1558</v>
      </c>
    </row>
    <row r="70" spans="1:2">
      <c r="B70" s="9" t="s">
        <v>1757</v>
      </c>
    </row>
    <row r="71" spans="1:2">
      <c r="B71" s="9" t="s">
        <v>309</v>
      </c>
    </row>
    <row r="72" spans="1:2">
      <c r="B72" s="9" t="s">
        <v>310</v>
      </c>
    </row>
    <row r="74" spans="1:2">
      <c r="A74" s="9" t="s">
        <v>2203</v>
      </c>
      <c r="B74" s="9" t="s">
        <v>791</v>
      </c>
    </row>
    <row r="75" spans="1:2">
      <c r="A75" s="9" t="s">
        <v>2215</v>
      </c>
      <c r="B75" s="9" t="s">
        <v>1988</v>
      </c>
    </row>
    <row r="76" spans="1:2">
      <c r="A76" s="2"/>
      <c r="B76" s="9" t="s">
        <v>1834</v>
      </c>
    </row>
    <row r="77" spans="1:2">
      <c r="B77" s="9" t="s">
        <v>408</v>
      </c>
    </row>
    <row r="78" spans="1:2">
      <c r="B78" s="9" t="s">
        <v>1733</v>
      </c>
    </row>
    <row r="79" spans="1:2">
      <c r="A79" s="9" t="s">
        <v>1584</v>
      </c>
      <c r="B79" s="9" t="s">
        <v>1238</v>
      </c>
    </row>
    <row r="80" spans="1:2">
      <c r="B80" s="9" t="s">
        <v>1677</v>
      </c>
    </row>
    <row r="81" spans="1:2">
      <c r="B81" s="9" t="s">
        <v>603</v>
      </c>
    </row>
    <row r="82" spans="1:2">
      <c r="B82" s="9" t="s">
        <v>2204</v>
      </c>
    </row>
    <row r="83" spans="1:2">
      <c r="B83" s="9" t="s">
        <v>37</v>
      </c>
    </row>
    <row r="84" spans="1:2">
      <c r="B84" s="9" t="s">
        <v>2007</v>
      </c>
    </row>
    <row r="85" spans="1:2">
      <c r="B85" s="9" t="s">
        <v>2237</v>
      </c>
    </row>
    <row r="86" spans="1:2">
      <c r="B86" s="9" t="s">
        <v>2236</v>
      </c>
    </row>
    <row r="87" spans="1:2">
      <c r="B87" s="9" t="s">
        <v>2240</v>
      </c>
    </row>
    <row r="88" spans="1:2">
      <c r="A88" s="9" t="s">
        <v>1857</v>
      </c>
      <c r="B88" s="9" t="s">
        <v>1237</v>
      </c>
    </row>
    <row r="89" spans="1:2">
      <c r="B89" s="9" t="s">
        <v>1239</v>
      </c>
    </row>
    <row r="90" spans="1:2">
      <c r="B90" s="9" t="s">
        <v>1240</v>
      </c>
    </row>
    <row r="91" spans="1:2">
      <c r="B91" s="9" t="s">
        <v>1241</v>
      </c>
    </row>
    <row r="92" spans="1:2">
      <c r="B92" s="9" t="s">
        <v>441</v>
      </c>
    </row>
    <row r="93" spans="1:2">
      <c r="B93" s="9" t="s">
        <v>406</v>
      </c>
    </row>
    <row r="94" spans="1:2">
      <c r="B94" s="9" t="s">
        <v>2013</v>
      </c>
    </row>
    <row r="95" spans="1:2">
      <c r="B95" s="9" t="s">
        <v>2314</v>
      </c>
    </row>
    <row r="96" spans="1:2">
      <c r="B96" s="9" t="s">
        <v>2315</v>
      </c>
    </row>
    <row r="97" spans="1:2">
      <c r="B97" s="9" t="s">
        <v>1250</v>
      </c>
    </row>
    <row r="98" spans="1:2">
      <c r="B98" s="9" t="s">
        <v>1732</v>
      </c>
    </row>
    <row r="99" spans="1:2">
      <c r="B99" s="9" t="s">
        <v>1910</v>
      </c>
    </row>
    <row r="100" spans="1:2">
      <c r="B100" s="9" t="s">
        <v>1911</v>
      </c>
    </row>
    <row r="101" spans="1:2">
      <c r="B101" s="9" t="s">
        <v>2234</v>
      </c>
    </row>
    <row r="102" spans="1:2">
      <c r="B102" s="9" t="s">
        <v>1111</v>
      </c>
    </row>
    <row r="103" spans="1:2">
      <c r="B103" s="9" t="s">
        <v>1112</v>
      </c>
    </row>
    <row r="105" spans="1:2">
      <c r="A105" s="9" t="s">
        <v>624</v>
      </c>
      <c r="B105" s="9" t="s">
        <v>791</v>
      </c>
    </row>
    <row r="106" spans="1:2">
      <c r="A106" s="9" t="s">
        <v>2215</v>
      </c>
      <c r="B106" s="9" t="s">
        <v>623</v>
      </c>
    </row>
    <row r="107" spans="1:2">
      <c r="A107" s="9" t="s">
        <v>1584</v>
      </c>
      <c r="B107" s="9" t="s">
        <v>431</v>
      </c>
    </row>
    <row r="108" spans="1:2">
      <c r="B108" s="9" t="s">
        <v>2267</v>
      </c>
    </row>
    <row r="109" spans="1:2">
      <c r="B109" s="9" t="s">
        <v>2059</v>
      </c>
    </row>
    <row r="110" spans="1:2">
      <c r="B110" s="9" t="s">
        <v>2063</v>
      </c>
    </row>
    <row r="111" spans="1:2">
      <c r="B111" s="9" t="s">
        <v>622</v>
      </c>
    </row>
    <row r="112" spans="1:2">
      <c r="B112" s="9" t="s">
        <v>625</v>
      </c>
    </row>
    <row r="113" spans="1:2">
      <c r="A113" s="9" t="s">
        <v>1857</v>
      </c>
      <c r="B113" s="9" t="s">
        <v>1880</v>
      </c>
    </row>
    <row r="114" spans="1:2">
      <c r="B114" s="9" t="s">
        <v>1881</v>
      </c>
    </row>
    <row r="115" spans="1:2">
      <c r="B115" s="9" t="s">
        <v>430</v>
      </c>
    </row>
    <row r="116" spans="1:2">
      <c r="B116" s="9" t="s">
        <v>2265</v>
      </c>
    </row>
    <row r="118" spans="1:2">
      <c r="A118" s="9" t="s">
        <v>1744</v>
      </c>
      <c r="B118" s="9" t="s">
        <v>791</v>
      </c>
    </row>
    <row r="119" spans="1:2">
      <c r="A119" s="9" t="s">
        <v>2215</v>
      </c>
      <c r="B119" s="9" t="s">
        <v>1875</v>
      </c>
    </row>
    <row r="120" spans="1:2">
      <c r="A120" s="2"/>
      <c r="B120" s="9" t="s">
        <v>83</v>
      </c>
    </row>
    <row r="121" spans="1:2">
      <c r="A121" s="2"/>
      <c r="B121" s="9" t="s">
        <v>1261</v>
      </c>
    </row>
    <row r="122" spans="1:2">
      <c r="B122" s="9" t="s">
        <v>79</v>
      </c>
    </row>
    <row r="123" spans="1:2">
      <c r="B123" s="9" t="s">
        <v>1860</v>
      </c>
    </row>
    <row r="124" spans="1:2">
      <c r="B124" s="9" t="s">
        <v>1865</v>
      </c>
    </row>
    <row r="125" spans="1:2">
      <c r="B125" s="9" t="s">
        <v>1861</v>
      </c>
    </row>
    <row r="126" spans="1:2">
      <c r="B126" s="9" t="s">
        <v>1866</v>
      </c>
    </row>
    <row r="127" spans="1:2">
      <c r="B127" s="9" t="s">
        <v>85</v>
      </c>
    </row>
    <row r="128" spans="1:2">
      <c r="B128" s="9" t="s">
        <v>1868</v>
      </c>
    </row>
    <row r="129" spans="1:2">
      <c r="A129" s="2"/>
      <c r="B129" s="9" t="s">
        <v>77</v>
      </c>
    </row>
    <row r="130" spans="1:2">
      <c r="B130" s="9" t="s">
        <v>78</v>
      </c>
    </row>
    <row r="131" spans="1:2">
      <c r="B131" s="9" t="s">
        <v>1262</v>
      </c>
    </row>
    <row r="132" spans="1:2">
      <c r="B132" s="9" t="s">
        <v>1263</v>
      </c>
    </row>
    <row r="133" spans="1:2">
      <c r="B133" s="9" t="s">
        <v>82</v>
      </c>
    </row>
    <row r="134" spans="1:2">
      <c r="B134" s="9" t="s">
        <v>1260</v>
      </c>
    </row>
    <row r="135" spans="1:2">
      <c r="B135" s="9" t="s">
        <v>1554</v>
      </c>
    </row>
    <row r="136" spans="1:2">
      <c r="B136" s="9" t="s">
        <v>1555</v>
      </c>
    </row>
    <row r="137" spans="1:2">
      <c r="B137" s="9" t="s">
        <v>1862</v>
      </c>
    </row>
    <row r="138" spans="1:2">
      <c r="B138" s="9" t="s">
        <v>1871</v>
      </c>
    </row>
    <row r="139" spans="1:2">
      <c r="B139" s="9" t="s">
        <v>1874</v>
      </c>
    </row>
    <row r="140" spans="1:2">
      <c r="B140" s="9" t="s">
        <v>1870</v>
      </c>
    </row>
    <row r="141" spans="1:2">
      <c r="B141" s="9" t="s">
        <v>28</v>
      </c>
    </row>
    <row r="142" spans="1:2">
      <c r="B142" s="9" t="s">
        <v>38</v>
      </c>
    </row>
    <row r="143" spans="1:2">
      <c r="B143" s="9" t="s">
        <v>39</v>
      </c>
    </row>
    <row r="144" spans="1:2">
      <c r="B144" s="9" t="s">
        <v>1743</v>
      </c>
    </row>
    <row r="145" spans="1:2">
      <c r="B145" s="9" t="s">
        <v>103</v>
      </c>
    </row>
    <row r="146" spans="1:2">
      <c r="B146" s="9" t="s">
        <v>106</v>
      </c>
    </row>
    <row r="147" spans="1:2">
      <c r="B147" s="9" t="s">
        <v>1559</v>
      </c>
    </row>
    <row r="148" spans="1:2">
      <c r="A148" s="9" t="s">
        <v>1584</v>
      </c>
      <c r="B148" s="9" t="s">
        <v>1592</v>
      </c>
    </row>
    <row r="149" spans="1:2">
      <c r="B149" s="9" t="s">
        <v>865</v>
      </c>
    </row>
    <row r="150" spans="1:2">
      <c r="B150" s="9" t="s">
        <v>2296</v>
      </c>
    </row>
    <row r="151" spans="1:2">
      <c r="B151" s="9" t="s">
        <v>421</v>
      </c>
    </row>
    <row r="152" spans="1:2">
      <c r="B152" s="9" t="s">
        <v>959</v>
      </c>
    </row>
    <row r="153" spans="1:2">
      <c r="B153" s="9" t="s">
        <v>1136</v>
      </c>
    </row>
    <row r="154" spans="1:2">
      <c r="B154" s="9" t="s">
        <v>866</v>
      </c>
    </row>
    <row r="155" spans="1:2">
      <c r="B155" s="9" t="s">
        <v>94</v>
      </c>
    </row>
    <row r="156" spans="1:2">
      <c r="B156" s="9" t="s">
        <v>96</v>
      </c>
    </row>
    <row r="157" spans="1:2">
      <c r="B157" s="9" t="s">
        <v>1560</v>
      </c>
    </row>
    <row r="158" spans="1:2">
      <c r="A158" s="9" t="s">
        <v>1857</v>
      </c>
      <c r="B158" s="9" t="s">
        <v>1623</v>
      </c>
    </row>
    <row r="159" spans="1:2">
      <c r="B159" s="9" t="s">
        <v>2015</v>
      </c>
    </row>
    <row r="160" spans="1:2">
      <c r="B160" s="9" t="s">
        <v>2016</v>
      </c>
    </row>
    <row r="161" spans="1:2">
      <c r="B161" s="9" t="s">
        <v>99</v>
      </c>
    </row>
    <row r="162" spans="1:2">
      <c r="A162" s="9" t="s">
        <v>2071</v>
      </c>
      <c r="B162" s="9" t="s">
        <v>811</v>
      </c>
    </row>
    <row r="165" spans="1:2">
      <c r="A165" s="9" t="s">
        <v>810</v>
      </c>
      <c r="B165" s="9" t="s">
        <v>791</v>
      </c>
    </row>
    <row r="166" spans="1:2">
      <c r="A166" s="9" t="s">
        <v>1584</v>
      </c>
      <c r="B166" s="9" t="s">
        <v>2261</v>
      </c>
    </row>
    <row r="167" spans="1:2">
      <c r="B167" s="9" t="s">
        <v>2262</v>
      </c>
    </row>
    <row r="168" spans="1:2">
      <c r="B168" s="9" t="s">
        <v>451</v>
      </c>
    </row>
    <row r="169" spans="1:2">
      <c r="A169" s="9" t="s">
        <v>1857</v>
      </c>
      <c r="B169" s="9" t="s">
        <v>2258</v>
      </c>
    </row>
    <row r="170" spans="1:2">
      <c r="B170" s="9" t="s">
        <v>2228</v>
      </c>
    </row>
    <row r="171" spans="1:2">
      <c r="B171" s="9" t="s">
        <v>2259</v>
      </c>
    </row>
    <row r="172" spans="1:2">
      <c r="B172" s="9" t="s">
        <v>2260</v>
      </c>
    </row>
    <row r="175" spans="1:2">
      <c r="A175" s="9" t="s">
        <v>877</v>
      </c>
      <c r="B175" s="9" t="s">
        <v>791</v>
      </c>
    </row>
    <row r="176" spans="1:2">
      <c r="A176" s="9" t="s">
        <v>2215</v>
      </c>
      <c r="B176" s="9" t="s">
        <v>698</v>
      </c>
    </row>
    <row r="177" spans="1:2">
      <c r="B177" s="9" t="s">
        <v>154</v>
      </c>
    </row>
    <row r="178" spans="1:2">
      <c r="B178" s="9" t="s">
        <v>153</v>
      </c>
    </row>
    <row r="179" spans="1:2">
      <c r="B179" s="9" t="s">
        <v>875</v>
      </c>
    </row>
    <row r="180" spans="1:2">
      <c r="A180" s="9" t="s">
        <v>1584</v>
      </c>
      <c r="B180" s="9" t="s">
        <v>156</v>
      </c>
    </row>
    <row r="181" spans="1:2">
      <c r="B181" s="9" t="s">
        <v>849</v>
      </c>
    </row>
    <row r="182" spans="1:2">
      <c r="B182" s="9" t="s">
        <v>876</v>
      </c>
    </row>
    <row r="183" spans="1:2">
      <c r="A183" s="9" t="s">
        <v>1857</v>
      </c>
      <c r="B183" s="9" t="s">
        <v>995</v>
      </c>
    </row>
    <row r="184" spans="1:2">
      <c r="B184" s="9" t="s">
        <v>697</v>
      </c>
    </row>
    <row r="185" spans="1:2">
      <c r="B185" s="9" t="s">
        <v>157</v>
      </c>
    </row>
    <row r="186" spans="1:2">
      <c r="B186" s="9" t="s">
        <v>149</v>
      </c>
    </row>
    <row r="187" spans="1:2">
      <c r="B187" s="9" t="s">
        <v>150</v>
      </c>
    </row>
    <row r="188" spans="1:2">
      <c r="B188" s="9" t="s">
        <v>151</v>
      </c>
    </row>
    <row r="189" spans="1:2">
      <c r="B189" s="9" t="s">
        <v>848</v>
      </c>
    </row>
    <row r="190" spans="1:2">
      <c r="B190" s="9" t="s">
        <v>852</v>
      </c>
    </row>
    <row r="191" spans="1:2">
      <c r="B191" s="9" t="s">
        <v>879</v>
      </c>
    </row>
    <row r="192" spans="1:2">
      <c r="A192" s="9" t="s">
        <v>2071</v>
      </c>
      <c r="B192" s="9" t="s">
        <v>152</v>
      </c>
    </row>
    <row r="194" spans="1:2">
      <c r="A194" s="9" t="s">
        <v>1595</v>
      </c>
      <c r="B194" s="9" t="s">
        <v>791</v>
      </c>
    </row>
    <row r="195" spans="1:2">
      <c r="A195" s="9" t="s">
        <v>1584</v>
      </c>
      <c r="B195" s="9" t="s">
        <v>2040</v>
      </c>
    </row>
    <row r="196" spans="1:2">
      <c r="B196" s="9" t="s">
        <v>313</v>
      </c>
    </row>
    <row r="197" spans="1:2">
      <c r="B197" s="9" t="s">
        <v>314</v>
      </c>
    </row>
    <row r="198" spans="1:2">
      <c r="A198" s="9" t="s">
        <v>1857</v>
      </c>
      <c r="B198" s="9" t="s">
        <v>312</v>
      </c>
    </row>
    <row r="199" spans="1:2">
      <c r="B199" s="9" t="s">
        <v>315</v>
      </c>
    </row>
    <row r="200" spans="1:2">
      <c r="B200" s="9" t="s">
        <v>2039</v>
      </c>
    </row>
    <row r="202" spans="1:2">
      <c r="A202" s="9" t="s">
        <v>1606</v>
      </c>
      <c r="B202" s="9" t="s">
        <v>791</v>
      </c>
    </row>
    <row r="203" spans="1:2">
      <c r="A203" s="9" t="s">
        <v>2215</v>
      </c>
      <c r="B203" s="9" t="s">
        <v>835</v>
      </c>
    </row>
    <row r="204" spans="1:2">
      <c r="B204" s="9" t="s">
        <v>1140</v>
      </c>
    </row>
    <row r="205" spans="1:2">
      <c r="A205" s="9" t="s">
        <v>1584</v>
      </c>
      <c r="B205" s="9" t="s">
        <v>832</v>
      </c>
    </row>
    <row r="206" spans="1:2">
      <c r="B206" s="9" t="s">
        <v>1266</v>
      </c>
    </row>
    <row r="207" spans="1:2">
      <c r="B207" s="9" t="s">
        <v>1488</v>
      </c>
    </row>
    <row r="208" spans="1:2">
      <c r="B208" s="9" t="s">
        <v>1557</v>
      </c>
    </row>
    <row r="209" spans="1:2">
      <c r="B209" s="9" t="s">
        <v>1322</v>
      </c>
    </row>
    <row r="210" spans="1:2">
      <c r="B210" s="9" t="s">
        <v>1489</v>
      </c>
    </row>
    <row r="211" spans="1:2">
      <c r="B211" s="9" t="s">
        <v>1323</v>
      </c>
    </row>
    <row r="212" spans="1:2">
      <c r="B212" s="9" t="s">
        <v>1139</v>
      </c>
    </row>
    <row r="213" spans="1:2">
      <c r="B213" s="9" t="s">
        <v>1490</v>
      </c>
    </row>
    <row r="214" spans="1:2">
      <c r="B214" s="9" t="s">
        <v>1491</v>
      </c>
    </row>
    <row r="215" spans="1:2">
      <c r="B215" s="9" t="s">
        <v>1492</v>
      </c>
    </row>
    <row r="216" spans="1:2">
      <c r="A216" s="9" t="s">
        <v>1857</v>
      </c>
      <c r="B216" s="9" t="s">
        <v>833</v>
      </c>
    </row>
    <row r="217" spans="1:2">
      <c r="B217" s="9" t="s">
        <v>614</v>
      </c>
    </row>
    <row r="218" spans="1:2">
      <c r="B218" s="9" t="s">
        <v>588</v>
      </c>
    </row>
    <row r="219" spans="1:2">
      <c r="B219" s="9" t="s">
        <v>731</v>
      </c>
    </row>
    <row r="220" spans="1:2">
      <c r="B220" s="9" t="s">
        <v>938</v>
      </c>
    </row>
    <row r="221" spans="1:2">
      <c r="A221" s="9" t="s">
        <v>2071</v>
      </c>
      <c r="B221" s="9" t="s">
        <v>266</v>
      </c>
    </row>
    <row r="223" spans="1:2">
      <c r="A223" s="9" t="s">
        <v>1416</v>
      </c>
      <c r="B223" s="9" t="s">
        <v>791</v>
      </c>
    </row>
    <row r="224" spans="1:2">
      <c r="A224" s="9" t="s">
        <v>2215</v>
      </c>
      <c r="B224" s="9" t="s">
        <v>438</v>
      </c>
    </row>
    <row r="225" spans="1:2">
      <c r="B225" s="9" t="s">
        <v>1417</v>
      </c>
    </row>
    <row r="226" spans="1:2">
      <c r="B226" s="9" t="s">
        <v>306</v>
      </c>
    </row>
    <row r="227" spans="1:2">
      <c r="B227" s="9" t="s">
        <v>1355</v>
      </c>
    </row>
    <row r="228" spans="1:2">
      <c r="A228" s="9" t="s">
        <v>1584</v>
      </c>
      <c r="B228" s="9" t="s">
        <v>656</v>
      </c>
    </row>
    <row r="229" spans="1:2">
      <c r="B229" s="9" t="s">
        <v>631</v>
      </c>
    </row>
    <row r="230" spans="1:2">
      <c r="B230" s="9" t="s">
        <v>1351</v>
      </c>
    </row>
    <row r="231" spans="1:2">
      <c r="A231" s="2"/>
      <c r="B231" s="9" t="s">
        <v>627</v>
      </c>
    </row>
    <row r="232" spans="1:2">
      <c r="B232" s="9" t="s">
        <v>626</v>
      </c>
    </row>
    <row r="233" spans="1:2">
      <c r="B233" s="9" t="s">
        <v>628</v>
      </c>
    </row>
    <row r="234" spans="1:2">
      <c r="A234" s="9" t="s">
        <v>1857</v>
      </c>
      <c r="B234" s="9" t="s">
        <v>16</v>
      </c>
    </row>
    <row r="235" spans="1:2">
      <c r="B235" s="9" t="s">
        <v>1621</v>
      </c>
    </row>
    <row r="236" spans="1:2">
      <c r="B236" s="9" t="s">
        <v>1256</v>
      </c>
    </row>
    <row r="237" spans="1:2">
      <c r="B237" s="9" t="s">
        <v>1257</v>
      </c>
    </row>
    <row r="238" spans="1:2">
      <c r="B238" s="9" t="s">
        <v>1258</v>
      </c>
    </row>
    <row r="239" spans="1:2">
      <c r="B239" s="9" t="s">
        <v>1209</v>
      </c>
    </row>
    <row r="240" spans="1:2">
      <c r="B240" s="9" t="s">
        <v>1210</v>
      </c>
    </row>
    <row r="241" spans="1:2">
      <c r="B241" s="9" t="s">
        <v>1418</v>
      </c>
    </row>
    <row r="242" spans="1:2">
      <c r="A242" s="9" t="s">
        <v>2071</v>
      </c>
      <c r="B242" s="9" t="s">
        <v>2017</v>
      </c>
    </row>
    <row r="243" spans="1:2">
      <c r="B243" s="9" t="s">
        <v>2018</v>
      </c>
    </row>
    <row r="245" spans="1:2">
      <c r="A245" s="9" t="s">
        <v>1571</v>
      </c>
      <c r="B245" s="9" t="s">
        <v>791</v>
      </c>
    </row>
    <row r="246" spans="1:2">
      <c r="A246" s="9" t="s">
        <v>2215</v>
      </c>
      <c r="B246" s="9" t="s">
        <v>2094</v>
      </c>
    </row>
    <row r="247" spans="1:2">
      <c r="B247" s="9" t="s">
        <v>10</v>
      </c>
    </row>
    <row r="248" spans="1:2">
      <c r="B248" s="9" t="s">
        <v>130</v>
      </c>
    </row>
    <row r="249" spans="1:2">
      <c r="B249" s="9" t="s">
        <v>1884</v>
      </c>
    </row>
    <row r="250" spans="1:2">
      <c r="B250" s="9" t="s">
        <v>1569</v>
      </c>
    </row>
    <row r="251" spans="1:2">
      <c r="A251" s="2"/>
      <c r="B251" s="9" t="s">
        <v>1635</v>
      </c>
    </row>
    <row r="252" spans="1:2">
      <c r="A252" s="2"/>
      <c r="B252" s="9" t="s">
        <v>425</v>
      </c>
    </row>
    <row r="253" spans="1:2">
      <c r="A253" s="2"/>
      <c r="B253" s="9" t="s">
        <v>11</v>
      </c>
    </row>
    <row r="254" spans="1:2">
      <c r="B254" s="9" t="s">
        <v>2027</v>
      </c>
    </row>
    <row r="255" spans="1:2">
      <c r="B255" s="9" t="s">
        <v>2028</v>
      </c>
    </row>
    <row r="256" spans="1:2">
      <c r="B256" s="9" t="s">
        <v>426</v>
      </c>
    </row>
    <row r="257" spans="1:2">
      <c r="A257" s="2"/>
      <c r="B257" s="9" t="s">
        <v>1141</v>
      </c>
    </row>
    <row r="258" spans="1:2">
      <c r="B258" s="9" t="s">
        <v>1142</v>
      </c>
    </row>
    <row r="259" spans="1:2">
      <c r="B259" s="9" t="s">
        <v>1885</v>
      </c>
    </row>
    <row r="260" spans="1:2">
      <c r="B260" s="9" t="s">
        <v>1893</v>
      </c>
    </row>
    <row r="261" spans="1:2">
      <c r="B261" s="9" t="s">
        <v>1347</v>
      </c>
    </row>
    <row r="262" spans="1:2">
      <c r="B262" s="9" t="s">
        <v>1678</v>
      </c>
    </row>
    <row r="263" spans="1:2">
      <c r="B263" s="9" t="s">
        <v>1886</v>
      </c>
    </row>
    <row r="264" spans="1:2">
      <c r="B264" s="9" t="s">
        <v>12</v>
      </c>
    </row>
    <row r="265" spans="1:2">
      <c r="B265" s="9" t="s">
        <v>701</v>
      </c>
    </row>
    <row r="266" spans="1:2">
      <c r="A266" s="2"/>
      <c r="B266" s="9" t="s">
        <v>1028</v>
      </c>
    </row>
    <row r="267" spans="1:2">
      <c r="A267" s="2"/>
      <c r="B267" s="9" t="s">
        <v>1636</v>
      </c>
    </row>
    <row r="268" spans="1:2">
      <c r="A268" s="2"/>
      <c r="B268" s="9" t="s">
        <v>1143</v>
      </c>
    </row>
    <row r="269" spans="1:2">
      <c r="B269" s="9" t="s">
        <v>880</v>
      </c>
    </row>
    <row r="270" spans="1:2">
      <c r="B270" s="9" t="s">
        <v>129</v>
      </c>
    </row>
    <row r="271" spans="1:2">
      <c r="B271" s="9" t="s">
        <v>1887</v>
      </c>
    </row>
    <row r="272" spans="1:2">
      <c r="B272" s="9" t="s">
        <v>427</v>
      </c>
    </row>
    <row r="273" spans="1:2">
      <c r="B273" s="9" t="s">
        <v>1888</v>
      </c>
    </row>
    <row r="274" spans="1:2">
      <c r="B274" s="9" t="s">
        <v>1892</v>
      </c>
    </row>
    <row r="275" spans="1:2">
      <c r="B275" s="9" t="s">
        <v>428</v>
      </c>
    </row>
    <row r="276" spans="1:2">
      <c r="B276" s="9" t="s">
        <v>1890</v>
      </c>
    </row>
    <row r="277" spans="1:2">
      <c r="B277" s="9" t="s">
        <v>1891</v>
      </c>
    </row>
    <row r="278" spans="1:2">
      <c r="B278" s="9" t="s">
        <v>429</v>
      </c>
    </row>
    <row r="279" spans="1:2">
      <c r="B279" s="9" t="s">
        <v>1882</v>
      </c>
    </row>
    <row r="280" spans="1:2">
      <c r="B280" s="9" t="s">
        <v>1883</v>
      </c>
    </row>
    <row r="281" spans="1:2">
      <c r="A281" s="9" t="s">
        <v>1857</v>
      </c>
      <c r="B281" s="9" t="s">
        <v>422</v>
      </c>
    </row>
    <row r="282" spans="1:2">
      <c r="B282" s="9" t="s">
        <v>252</v>
      </c>
    </row>
    <row r="283" spans="1:2">
      <c r="B283" s="9" t="s">
        <v>254</v>
      </c>
    </row>
    <row r="284" spans="1:2">
      <c r="B284" s="9" t="s">
        <v>307</v>
      </c>
    </row>
    <row r="285" spans="1:2">
      <c r="B285" s="9" t="s">
        <v>1570</v>
      </c>
    </row>
    <row r="286" spans="1:2">
      <c r="B286" s="9" t="s">
        <v>1572</v>
      </c>
    </row>
    <row r="287" spans="1:2">
      <c r="A287" s="9" t="s">
        <v>423</v>
      </c>
      <c r="B287" s="9" t="s">
        <v>424</v>
      </c>
    </row>
    <row r="288" spans="1:2">
      <c r="B288" s="9" t="s">
        <v>253</v>
      </c>
    </row>
    <row r="289" spans="1:2">
      <c r="B289" s="9" t="s">
        <v>1568</v>
      </c>
    </row>
    <row r="291" spans="1:2">
      <c r="A291" s="9" t="s">
        <v>458</v>
      </c>
      <c r="B291" s="9" t="s">
        <v>791</v>
      </c>
    </row>
    <row r="292" spans="1:2">
      <c r="A292" s="9" t="s">
        <v>2215</v>
      </c>
      <c r="B292" s="9" t="s">
        <v>990</v>
      </c>
    </row>
    <row r="293" spans="1:2">
      <c r="A293" s="2"/>
      <c r="B293" s="9" t="s">
        <v>967</v>
      </c>
    </row>
    <row r="294" spans="1:2">
      <c r="B294" s="9" t="s">
        <v>971</v>
      </c>
    </row>
    <row r="295" spans="1:2">
      <c r="B295" s="9" t="s">
        <v>860</v>
      </c>
    </row>
    <row r="296" spans="1:2">
      <c r="B296" s="9" t="s">
        <v>708</v>
      </c>
    </row>
    <row r="297" spans="1:2">
      <c r="B297" s="9" t="s">
        <v>988</v>
      </c>
    </row>
    <row r="298" spans="1:2">
      <c r="A298" s="2"/>
      <c r="B298" s="9" t="s">
        <v>966</v>
      </c>
    </row>
    <row r="299" spans="1:2">
      <c r="A299" s="2"/>
      <c r="B299" s="9" t="s">
        <v>986</v>
      </c>
    </row>
    <row r="300" spans="1:2">
      <c r="A300" s="2"/>
      <c r="B300" s="9" t="s">
        <v>965</v>
      </c>
    </row>
    <row r="301" spans="1:2">
      <c r="A301" s="2"/>
      <c r="B301" s="9" t="s">
        <v>987</v>
      </c>
    </row>
    <row r="302" spans="1:2">
      <c r="A302" s="2"/>
      <c r="B302" s="9" t="s">
        <v>707</v>
      </c>
    </row>
    <row r="303" spans="1:2">
      <c r="A303" s="2"/>
      <c r="B303" s="9" t="s">
        <v>969</v>
      </c>
    </row>
    <row r="304" spans="1:2">
      <c r="A304" s="2"/>
      <c r="B304" s="9" t="s">
        <v>979</v>
      </c>
    </row>
    <row r="305" spans="1:2">
      <c r="A305" s="2"/>
      <c r="B305" s="9" t="s">
        <v>978</v>
      </c>
    </row>
    <row r="306" spans="1:2">
      <c r="A306" s="2"/>
      <c r="B306" s="9" t="s">
        <v>870</v>
      </c>
    </row>
    <row r="307" spans="1:2">
      <c r="A307" s="2"/>
      <c r="B307" s="9" t="s">
        <v>972</v>
      </c>
    </row>
    <row r="308" spans="1:2">
      <c r="A308" s="2"/>
      <c r="B308" s="9" t="s">
        <v>960</v>
      </c>
    </row>
    <row r="309" spans="1:2">
      <c r="A309" s="2"/>
      <c r="B309" s="9" t="s">
        <v>970</v>
      </c>
    </row>
    <row r="310" spans="1:2">
      <c r="A310" s="2"/>
      <c r="B310" s="9" t="s">
        <v>872</v>
      </c>
    </row>
    <row r="311" spans="1:2">
      <c r="A311" s="2"/>
      <c r="B311" s="9" t="s">
        <v>968</v>
      </c>
    </row>
    <row r="312" spans="1:2">
      <c r="A312" s="2"/>
      <c r="B312" s="9" t="s">
        <v>993</v>
      </c>
    </row>
    <row r="313" spans="1:2">
      <c r="A313" s="2"/>
      <c r="B313" s="9" t="s">
        <v>704</v>
      </c>
    </row>
    <row r="314" spans="1:2">
      <c r="A314" s="2"/>
      <c r="B314" s="9" t="s">
        <v>705</v>
      </c>
    </row>
    <row r="315" spans="1:2">
      <c r="A315" s="2"/>
      <c r="B315" s="9" t="s">
        <v>703</v>
      </c>
    </row>
    <row r="316" spans="1:2">
      <c r="A316" s="2"/>
      <c r="B316" s="9" t="s">
        <v>702</v>
      </c>
    </row>
    <row r="317" spans="1:2">
      <c r="A317" s="2"/>
      <c r="B317" s="9" t="s">
        <v>706</v>
      </c>
    </row>
    <row r="318" spans="1:2">
      <c r="A318" s="2"/>
      <c r="B318" s="9" t="s">
        <v>980</v>
      </c>
    </row>
    <row r="319" spans="1:2">
      <c r="A319" s="2"/>
      <c r="B319" s="9" t="s">
        <v>964</v>
      </c>
    </row>
    <row r="320" spans="1:2">
      <c r="A320" s="2"/>
      <c r="B320" s="9" t="s">
        <v>991</v>
      </c>
    </row>
    <row r="321" spans="1:2">
      <c r="A321" s="2"/>
      <c r="B321" s="9" t="s">
        <v>975</v>
      </c>
    </row>
    <row r="322" spans="1:2">
      <c r="A322" s="2"/>
      <c r="B322" s="9" t="s">
        <v>976</v>
      </c>
    </row>
    <row r="323" spans="1:2">
      <c r="A323" s="2"/>
      <c r="B323" s="9" t="s">
        <v>989</v>
      </c>
    </row>
    <row r="324" spans="1:2">
      <c r="B324" s="9" t="s">
        <v>873</v>
      </c>
    </row>
    <row r="325" spans="1:2">
      <c r="B325" s="9" t="s">
        <v>981</v>
      </c>
    </row>
    <row r="326" spans="1:2">
      <c r="B326" s="9" t="s">
        <v>982</v>
      </c>
    </row>
    <row r="327" spans="1:2">
      <c r="B327" s="9" t="s">
        <v>983</v>
      </c>
    </row>
    <row r="328" spans="1:2">
      <c r="B328" s="9" t="s">
        <v>992</v>
      </c>
    </row>
    <row r="329" spans="1:2">
      <c r="B329" s="9" t="s">
        <v>973</v>
      </c>
    </row>
    <row r="330" spans="1:2">
      <c r="B330" s="9" t="s">
        <v>984</v>
      </c>
    </row>
    <row r="331" spans="1:2">
      <c r="B331" s="9" t="s">
        <v>974</v>
      </c>
    </row>
    <row r="332" spans="1:2">
      <c r="B332" s="9" t="s">
        <v>1267</v>
      </c>
    </row>
    <row r="333" spans="1:2">
      <c r="A333" s="9" t="s">
        <v>1584</v>
      </c>
      <c r="B333" s="9" t="s">
        <v>610</v>
      </c>
    </row>
    <row r="334" spans="1:2">
      <c r="B334" s="9" t="s">
        <v>611</v>
      </c>
    </row>
    <row r="335" spans="1:2">
      <c r="B335" s="9" t="s">
        <v>612</v>
      </c>
    </row>
    <row r="336" spans="1:2">
      <c r="B336" s="9" t="s">
        <v>939</v>
      </c>
    </row>
    <row r="337" spans="1:2">
      <c r="A337" s="9" t="s">
        <v>1857</v>
      </c>
      <c r="B337" s="9" t="s">
        <v>715</v>
      </c>
    </row>
    <row r="338" spans="1:2">
      <c r="B338" s="9" t="s">
        <v>994</v>
      </c>
    </row>
    <row r="339" spans="1:2">
      <c r="B339" s="9" t="s">
        <v>956</v>
      </c>
    </row>
    <row r="340" spans="1:2">
      <c r="B340" s="9" t="s">
        <v>1605</v>
      </c>
    </row>
    <row r="341" spans="1:2">
      <c r="B341" s="9" t="s">
        <v>1963</v>
      </c>
    </row>
    <row r="342" spans="1:2">
      <c r="B342" s="9" t="s">
        <v>613</v>
      </c>
    </row>
    <row r="343" spans="1:2">
      <c r="A343" s="9" t="s">
        <v>856</v>
      </c>
      <c r="B343" s="9" t="s">
        <v>857</v>
      </c>
    </row>
    <row r="344" spans="1:2">
      <c r="B344" s="9" t="s">
        <v>1399</v>
      </c>
    </row>
    <row r="345" spans="1:2">
      <c r="B345" s="9" t="s">
        <v>858</v>
      </c>
    </row>
    <row r="346" spans="1:2">
      <c r="B346" s="9" t="s">
        <v>859</v>
      </c>
    </row>
    <row r="347" spans="1:2">
      <c r="B347" s="9" t="s">
        <v>1151</v>
      </c>
    </row>
    <row r="349" spans="1:2">
      <c r="A349" s="9" t="s">
        <v>189</v>
      </c>
      <c r="B349" s="9" t="s">
        <v>791</v>
      </c>
    </row>
    <row r="350" spans="1:2">
      <c r="A350" s="9" t="s">
        <v>2215</v>
      </c>
      <c r="B350" s="9" t="s">
        <v>1291</v>
      </c>
    </row>
    <row r="351" spans="1:2">
      <c r="A351" s="2"/>
      <c r="B351" s="9" t="s">
        <v>1292</v>
      </c>
    </row>
    <row r="352" spans="1:2">
      <c r="A352" s="2"/>
      <c r="B352" s="9" t="s">
        <v>812</v>
      </c>
    </row>
    <row r="353" spans="1:2">
      <c r="A353" s="2"/>
      <c r="B353" s="9" t="s">
        <v>1358</v>
      </c>
    </row>
    <row r="354" spans="1:2">
      <c r="A354" s="2"/>
      <c r="B354" s="9" t="s">
        <v>188</v>
      </c>
    </row>
    <row r="355" spans="1:2">
      <c r="A355" s="2" t="s">
        <v>1584</v>
      </c>
      <c r="B355" s="9" t="s">
        <v>1912</v>
      </c>
    </row>
    <row r="356" spans="1:2">
      <c r="A356" s="2"/>
      <c r="B356" s="9" t="s">
        <v>1130</v>
      </c>
    </row>
    <row r="357" spans="1:2">
      <c r="A357" s="2"/>
      <c r="B357" s="9" t="s">
        <v>190</v>
      </c>
    </row>
    <row r="358" spans="1:2">
      <c r="A358" s="2"/>
      <c r="B358" s="9" t="s">
        <v>561</v>
      </c>
    </row>
    <row r="359" spans="1:2">
      <c r="A359" s="2"/>
      <c r="B359" s="9" t="s">
        <v>1631</v>
      </c>
    </row>
    <row r="360" spans="1:2">
      <c r="A360" s="2"/>
      <c r="B360" s="9" t="s">
        <v>1637</v>
      </c>
    </row>
    <row r="361" spans="1:2">
      <c r="A361" s="2"/>
      <c r="B361" s="9" t="s">
        <v>1742</v>
      </c>
    </row>
    <row r="362" spans="1:2">
      <c r="A362" s="2"/>
      <c r="B362" s="9" t="s">
        <v>1632</v>
      </c>
    </row>
    <row r="363" spans="1:2">
      <c r="A363" s="2"/>
      <c r="B363" s="9" t="s">
        <v>1633</v>
      </c>
    </row>
    <row r="364" spans="1:2">
      <c r="A364" s="2"/>
      <c r="B364" s="9" t="s">
        <v>1741</v>
      </c>
    </row>
    <row r="365" spans="1:2">
      <c r="A365" s="2"/>
      <c r="B365" s="9" t="s">
        <v>1634</v>
      </c>
    </row>
    <row r="366" spans="1:2">
      <c r="A366" s="2"/>
      <c r="B366" s="9" t="s">
        <v>45</v>
      </c>
    </row>
    <row r="367" spans="1:2">
      <c r="A367" s="2"/>
      <c r="B367" s="9" t="s">
        <v>52</v>
      </c>
    </row>
    <row r="368" spans="1:2">
      <c r="A368" s="2"/>
      <c r="B368" s="9" t="s">
        <v>1638</v>
      </c>
    </row>
    <row r="369" spans="1:2">
      <c r="A369" s="2" t="s">
        <v>1857</v>
      </c>
      <c r="B369" s="9" t="s">
        <v>1293</v>
      </c>
    </row>
    <row r="370" spans="1:2">
      <c r="A370" s="2"/>
      <c r="B370" s="9" t="s">
        <v>1294</v>
      </c>
    </row>
    <row r="371" spans="1:2">
      <c r="A371" s="2"/>
      <c r="B371" s="9" t="s">
        <v>1131</v>
      </c>
    </row>
    <row r="372" spans="1:2">
      <c r="A372" s="2"/>
      <c r="B372" s="9" t="s">
        <v>1653</v>
      </c>
    </row>
    <row r="373" spans="1:2">
      <c r="A373" s="2"/>
      <c r="B373" s="9" t="s">
        <v>114</v>
      </c>
    </row>
    <row r="374" spans="1:2">
      <c r="A374" s="2"/>
      <c r="B374" s="9" t="s">
        <v>607</v>
      </c>
    </row>
    <row r="375" spans="1:2">
      <c r="A375" s="2"/>
      <c r="B375" s="9" t="s">
        <v>40</v>
      </c>
    </row>
    <row r="376" spans="1:2">
      <c r="A376" s="2"/>
      <c r="B376" s="9" t="s">
        <v>42</v>
      </c>
    </row>
    <row r="377" spans="1:2">
      <c r="A377" s="2"/>
      <c r="B377" s="9" t="s">
        <v>41</v>
      </c>
    </row>
    <row r="378" spans="1:2">
      <c r="A378" s="2" t="s">
        <v>2071</v>
      </c>
      <c r="B378" s="9" t="s">
        <v>43</v>
      </c>
    </row>
    <row r="379" spans="1:2">
      <c r="A379" s="2"/>
      <c r="B379" s="9" t="s">
        <v>51</v>
      </c>
    </row>
    <row r="380" spans="1:2">
      <c r="B380" s="9" t="s">
        <v>1619</v>
      </c>
    </row>
    <row r="381" spans="1:2">
      <c r="B381" s="9" t="s">
        <v>1620</v>
      </c>
    </row>
    <row r="382" spans="1:2">
      <c r="B382" s="9" t="s">
        <v>2069</v>
      </c>
    </row>
    <row r="384" spans="1:2">
      <c r="A384" s="9" t="s">
        <v>1856</v>
      </c>
      <c r="B384" s="9" t="s">
        <v>791</v>
      </c>
    </row>
    <row r="385" spans="1:2">
      <c r="A385" s="9" t="s">
        <v>2215</v>
      </c>
      <c r="B385" s="9" t="s">
        <v>2216</v>
      </c>
    </row>
    <row r="386" spans="1:2">
      <c r="A386" s="9" t="s">
        <v>1857</v>
      </c>
      <c r="B386" s="9" t="s">
        <v>2218</v>
      </c>
    </row>
    <row r="387" spans="1:2">
      <c r="B387" s="9" t="s">
        <v>498</v>
      </c>
    </row>
    <row r="388" spans="1:2">
      <c r="B388" s="9" t="s">
        <v>2217</v>
      </c>
    </row>
    <row r="389" spans="1:2">
      <c r="B389" s="9" t="s">
        <v>996</v>
      </c>
    </row>
    <row r="390" spans="1:2">
      <c r="B390" s="9" t="s">
        <v>1340</v>
      </c>
    </row>
    <row r="391" spans="1:2">
      <c r="B391" s="9" t="s">
        <v>2213</v>
      </c>
    </row>
    <row r="392" spans="1:2">
      <c r="B392" s="9" t="s">
        <v>2219</v>
      </c>
    </row>
    <row r="394" spans="1:2">
      <c r="A394" s="9" t="s">
        <v>1354</v>
      </c>
      <c r="B394" s="9" t="s">
        <v>791</v>
      </c>
    </row>
    <row r="395" spans="1:2">
      <c r="A395" s="9" t="s">
        <v>2248</v>
      </c>
      <c r="B395" s="9" t="s">
        <v>792</v>
      </c>
    </row>
    <row r="396" spans="1:2">
      <c r="A396" s="9" t="s">
        <v>2179</v>
      </c>
      <c r="B396" s="9" t="s">
        <v>1425</v>
      </c>
    </row>
    <row r="397" spans="1:2">
      <c r="B397" s="9" t="s">
        <v>1426</v>
      </c>
    </row>
    <row r="398" spans="1:2">
      <c r="B398" s="9" t="s">
        <v>489</v>
      </c>
    </row>
    <row r="399" spans="1:2">
      <c r="B399" s="9" t="s">
        <v>490</v>
      </c>
    </row>
    <row r="400" spans="1:2">
      <c r="B400" s="9" t="s">
        <v>1337</v>
      </c>
    </row>
    <row r="401" spans="1:2">
      <c r="B401" s="9" t="s">
        <v>874</v>
      </c>
    </row>
    <row r="402" spans="1:2">
      <c r="A402" s="9" t="s">
        <v>2247</v>
      </c>
      <c r="B402" s="9" t="s">
        <v>261</v>
      </c>
    </row>
    <row r="403" spans="1:2">
      <c r="B403" s="9" t="s">
        <v>262</v>
      </c>
    </row>
    <row r="404" spans="1:2">
      <c r="B404" s="9" t="s">
        <v>853</v>
      </c>
    </row>
    <row r="406" spans="1:2">
      <c r="A406" s="9" t="s">
        <v>1965</v>
      </c>
      <c r="B406" s="9" t="s">
        <v>791</v>
      </c>
    </row>
    <row r="407" spans="1:2">
      <c r="A407" s="9" t="s">
        <v>2248</v>
      </c>
      <c r="B407" s="9" t="s">
        <v>535</v>
      </c>
    </row>
    <row r="408" spans="1:2">
      <c r="B408" s="9" t="s">
        <v>890</v>
      </c>
    </row>
    <row r="409" spans="1:2">
      <c r="B409" s="9" t="s">
        <v>891</v>
      </c>
    </row>
    <row r="410" spans="1:2">
      <c r="B410" s="9" t="s">
        <v>1594</v>
      </c>
    </row>
    <row r="411" spans="1:2">
      <c r="A411" s="9" t="s">
        <v>2247</v>
      </c>
      <c r="B411" s="9" t="s">
        <v>1855</v>
      </c>
    </row>
    <row r="412" spans="1:2">
      <c r="A412" s="9" t="s">
        <v>2179</v>
      </c>
      <c r="B412" s="9" t="s">
        <v>1964</v>
      </c>
    </row>
    <row r="413" spans="1:2">
      <c r="B413" s="9" t="s">
        <v>796</v>
      </c>
    </row>
    <row r="414" spans="1:2">
      <c r="B414" s="9" t="s">
        <v>7</v>
      </c>
    </row>
    <row r="415" spans="1:2">
      <c r="B415" s="9" t="s">
        <v>897</v>
      </c>
    </row>
    <row r="416" spans="1:2">
      <c r="B416" s="9" t="s">
        <v>2182</v>
      </c>
    </row>
    <row r="417" spans="1:2">
      <c r="B417" s="9" t="s">
        <v>2183</v>
      </c>
    </row>
    <row r="418" spans="1:2">
      <c r="B418" s="9" t="s">
        <v>2184</v>
      </c>
    </row>
    <row r="419" spans="1:2">
      <c r="B419" s="9" t="s">
        <v>1561</v>
      </c>
    </row>
    <row r="420" spans="1:2">
      <c r="B420" s="9" t="s">
        <v>1854</v>
      </c>
    </row>
    <row r="421" spans="1:2">
      <c r="A421" s="9" t="s">
        <v>1566</v>
      </c>
      <c r="B421" s="9" t="s">
        <v>1562</v>
      </c>
    </row>
    <row r="423" spans="1:2">
      <c r="A423" s="9" t="s">
        <v>501</v>
      </c>
      <c r="B423" s="9" t="s">
        <v>791</v>
      </c>
    </row>
    <row r="424" spans="1:2">
      <c r="A424" s="9" t="s">
        <v>2248</v>
      </c>
      <c r="B424" s="9" t="s">
        <v>1926</v>
      </c>
    </row>
    <row r="425" spans="1:2">
      <c r="B425" s="9" t="s">
        <v>453</v>
      </c>
    </row>
    <row r="426" spans="1:2">
      <c r="B426" s="6" t="s">
        <v>1927</v>
      </c>
    </row>
    <row r="427" spans="1:2">
      <c r="A427" s="9" t="s">
        <v>452</v>
      </c>
      <c r="B427" s="6" t="s">
        <v>908</v>
      </c>
    </row>
    <row r="428" spans="1:2">
      <c r="A428" s="9" t="s">
        <v>2179</v>
      </c>
      <c r="B428" s="9" t="s">
        <v>502</v>
      </c>
    </row>
    <row r="429" spans="1:2">
      <c r="B429" s="9" t="s">
        <v>503</v>
      </c>
    </row>
    <row r="430" spans="1:2">
      <c r="B430" s="9" t="s">
        <v>504</v>
      </c>
    </row>
    <row r="431" spans="1:2">
      <c r="B431" s="9" t="s">
        <v>907</v>
      </c>
    </row>
    <row r="432" spans="1:2">
      <c r="B432" s="9" t="s">
        <v>1925</v>
      </c>
    </row>
    <row r="433" spans="1:2">
      <c r="B433" s="9" t="s">
        <v>906</v>
      </c>
    </row>
    <row r="435" spans="1:2">
      <c r="A435" s="9" t="s">
        <v>1478</v>
      </c>
      <c r="B435" s="9" t="s">
        <v>791</v>
      </c>
    </row>
    <row r="436" spans="1:2">
      <c r="A436" s="9" t="s">
        <v>2247</v>
      </c>
      <c r="B436" s="9" t="s">
        <v>1659</v>
      </c>
    </row>
    <row r="437" spans="1:2">
      <c r="B437" s="9" t="s">
        <v>1008</v>
      </c>
    </row>
    <row r="438" spans="1:2">
      <c r="A438" s="9" t="s">
        <v>2248</v>
      </c>
      <c r="B438" s="9" t="s">
        <v>1007</v>
      </c>
    </row>
    <row r="439" spans="1:2">
      <c r="B439" s="9" t="s">
        <v>1207</v>
      </c>
    </row>
    <row r="440" spans="1:2">
      <c r="B440" s="9" t="s">
        <v>1230</v>
      </c>
    </row>
    <row r="441" spans="1:2">
      <c r="B441" s="9" t="s">
        <v>1231</v>
      </c>
    </row>
    <row r="442" spans="1:2">
      <c r="B442" s="9" t="s">
        <v>1408</v>
      </c>
    </row>
    <row r="443" spans="1:2">
      <c r="B443" s="9" t="s">
        <v>1494</v>
      </c>
    </row>
    <row r="444" spans="1:2">
      <c r="B444" s="9" t="s">
        <v>1497</v>
      </c>
    </row>
    <row r="445" spans="1:2">
      <c r="B445" s="9" t="s">
        <v>1504</v>
      </c>
    </row>
    <row r="446" spans="1:2">
      <c r="B446" s="9" t="s">
        <v>1505</v>
      </c>
    </row>
    <row r="447" spans="1:2">
      <c r="B447" s="9" t="s">
        <v>1506</v>
      </c>
    </row>
    <row r="448" spans="1:2">
      <c r="B448" s="9" t="s">
        <v>1507</v>
      </c>
    </row>
    <row r="449" spans="1:2">
      <c r="B449" s="9" t="s">
        <v>1508</v>
      </c>
    </row>
    <row r="450" spans="1:2">
      <c r="B450" s="9" t="s">
        <v>1509</v>
      </c>
    </row>
    <row r="451" spans="1:2">
      <c r="A451" s="9" t="s">
        <v>1566</v>
      </c>
      <c r="B451" s="9" t="s">
        <v>1914</v>
      </c>
    </row>
    <row r="452" spans="1:2">
      <c r="B452" s="9" t="s">
        <v>1510</v>
      </c>
    </row>
    <row r="453" spans="1:2">
      <c r="A453" s="9" t="s">
        <v>2179</v>
      </c>
      <c r="B453" s="9" t="s">
        <v>1482</v>
      </c>
    </row>
    <row r="454" spans="1:2">
      <c r="B454" s="9" t="s">
        <v>1483</v>
      </c>
    </row>
    <row r="455" spans="1:2">
      <c r="B455" s="9" t="s">
        <v>1468</v>
      </c>
    </row>
    <row r="456" spans="1:2">
      <c r="B456" s="9" t="s">
        <v>136</v>
      </c>
    </row>
    <row r="458" spans="1:2">
      <c r="A458" s="9" t="s">
        <v>1479</v>
      </c>
      <c r="B458" s="9" t="s">
        <v>1480</v>
      </c>
    </row>
    <row r="459" spans="1:2">
      <c r="A459" s="9" t="s">
        <v>2248</v>
      </c>
      <c r="B459" s="9" t="s">
        <v>1481</v>
      </c>
    </row>
    <row r="461" spans="1:2">
      <c r="A461" s="9" t="s">
        <v>1062</v>
      </c>
      <c r="B461" s="9" t="s">
        <v>791</v>
      </c>
    </row>
    <row r="462" spans="1:2">
      <c r="A462" s="9" t="s">
        <v>2247</v>
      </c>
      <c r="B462" s="9" t="s">
        <v>1058</v>
      </c>
    </row>
    <row r="463" spans="1:2">
      <c r="A463" s="9" t="s">
        <v>2179</v>
      </c>
      <c r="B463" s="9" t="s">
        <v>283</v>
      </c>
    </row>
    <row r="464" spans="1:2">
      <c r="B464" s="9" t="s">
        <v>284</v>
      </c>
    </row>
    <row r="465" spans="1:2">
      <c r="B465" s="9" t="s">
        <v>285</v>
      </c>
    </row>
    <row r="466" spans="1:2">
      <c r="B466" s="9" t="s">
        <v>286</v>
      </c>
    </row>
    <row r="467" spans="1:2">
      <c r="B467" s="9" t="s">
        <v>287</v>
      </c>
    </row>
    <row r="468" spans="1:2">
      <c r="B468" s="9" t="s">
        <v>288</v>
      </c>
    </row>
    <row r="469" spans="1:2">
      <c r="B469" s="9" t="s">
        <v>289</v>
      </c>
    </row>
    <row r="470" spans="1:2">
      <c r="B470" s="9" t="s">
        <v>1024</v>
      </c>
    </row>
    <row r="471" spans="1:2">
      <c r="B471" s="9" t="s">
        <v>758</v>
      </c>
    </row>
    <row r="472" spans="1:2">
      <c r="B472" s="9" t="s">
        <v>759</v>
      </c>
    </row>
    <row r="473" spans="1:2">
      <c r="B473" s="9" t="s">
        <v>1059</v>
      </c>
    </row>
    <row r="474" spans="1:2">
      <c r="B474" s="9" t="s">
        <v>1061</v>
      </c>
    </row>
    <row r="475" spans="1:2">
      <c r="B475" s="9" t="s">
        <v>1060</v>
      </c>
    </row>
    <row r="477" spans="1:2">
      <c r="A477" s="9" t="s">
        <v>1126</v>
      </c>
      <c r="B477" s="9" t="s">
        <v>791</v>
      </c>
    </row>
    <row r="478" spans="1:2">
      <c r="A478" s="9" t="s">
        <v>2179</v>
      </c>
      <c r="B478" s="9" t="s">
        <v>1127</v>
      </c>
    </row>
    <row r="479" spans="1:2">
      <c r="B479" s="9" t="s">
        <v>1128</v>
      </c>
    </row>
    <row r="480" spans="1:2">
      <c r="A480" s="9" t="s">
        <v>2248</v>
      </c>
      <c r="B480" s="9" t="s">
        <v>1129</v>
      </c>
    </row>
    <row r="481" spans="1:2">
      <c r="B481" s="9" t="s">
        <v>868</v>
      </c>
    </row>
    <row r="483" spans="1:2">
      <c r="A483" s="9" t="s">
        <v>2264</v>
      </c>
      <c r="B483" s="9" t="s">
        <v>791</v>
      </c>
    </row>
    <row r="484" spans="1:2">
      <c r="A484" s="9" t="s">
        <v>2247</v>
      </c>
      <c r="B484" s="9" t="s">
        <v>160</v>
      </c>
    </row>
    <row r="486" spans="1:2">
      <c r="A486" s="9" t="s">
        <v>2263</v>
      </c>
      <c r="B486" s="9" t="s">
        <v>791</v>
      </c>
    </row>
    <row r="487" spans="1:2">
      <c r="A487" s="9" t="s">
        <v>2247</v>
      </c>
      <c r="B487" s="9" t="s">
        <v>1769</v>
      </c>
    </row>
    <row r="488" spans="1:2">
      <c r="B488" s="9" t="s">
        <v>1960</v>
      </c>
    </row>
    <row r="489" spans="1:2">
      <c r="A489" s="9" t="s">
        <v>2248</v>
      </c>
      <c r="B489" s="9" t="s">
        <v>165</v>
      </c>
    </row>
    <row r="490" spans="1:2">
      <c r="A490" s="9" t="s">
        <v>1566</v>
      </c>
      <c r="B490" s="9" t="s">
        <v>162</v>
      </c>
    </row>
    <row r="491" spans="1:2">
      <c r="B491" s="9" t="s">
        <v>1770</v>
      </c>
    </row>
    <row r="492" spans="1:2">
      <c r="A492" s="9" t="s">
        <v>2179</v>
      </c>
      <c r="B492" s="9" t="s">
        <v>531</v>
      </c>
    </row>
    <row r="493" spans="1:2">
      <c r="B493" s="9" t="s">
        <v>530</v>
      </c>
    </row>
    <row r="494" spans="1:2">
      <c r="B494" s="9" t="s">
        <v>230</v>
      </c>
    </row>
    <row r="495" spans="1:2">
      <c r="B495" s="9" t="s">
        <v>166</v>
      </c>
    </row>
    <row r="496" spans="1:2">
      <c r="B496" s="10" t="s">
        <v>1771</v>
      </c>
    </row>
    <row r="497" spans="1:256">
      <c r="B497" s="9" t="s">
        <v>1957</v>
      </c>
    </row>
    <row r="498" spans="1:256">
      <c r="B498" s="10" t="s">
        <v>1958</v>
      </c>
    </row>
    <row r="499" spans="1:256">
      <c r="B499" s="10" t="s">
        <v>1959</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B500" s="10" t="s">
        <v>1961</v>
      </c>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B501" s="10" t="s">
        <v>1962</v>
      </c>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A503" s="9" t="s">
        <v>824</v>
      </c>
      <c r="B503" s="9" t="s">
        <v>1672</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A504" s="9" t="s">
        <v>2247</v>
      </c>
      <c r="B504" s="9" t="s">
        <v>1673</v>
      </c>
      <c r="C504" s="9"/>
      <c r="D504" s="9"/>
      <c r="E504" s="9"/>
      <c r="F504" s="9"/>
      <c r="G504" s="9"/>
      <c r="H504" s="9"/>
      <c r="I504" s="9"/>
      <c r="J504" s="9"/>
      <c r="K504" s="9"/>
      <c r="L504" s="9"/>
      <c r="M504" s="9"/>
      <c r="N504" s="9"/>
      <c r="O504" s="9"/>
      <c r="P504" s="9"/>
      <c r="Q504" s="9"/>
      <c r="R504" s="9"/>
      <c r="S504" s="9"/>
      <c r="T504" s="9"/>
      <c r="U504" s="9"/>
      <c r="V504" s="9"/>
      <c r="W504" s="9"/>
      <c r="X504" s="9"/>
      <c r="Y504" s="9"/>
      <c r="Z504" s="9"/>
      <c r="AA504" s="9"/>
      <c r="AB504" s="9"/>
      <c r="AC504" s="9"/>
      <c r="AD504" s="9"/>
      <c r="AE504" s="9"/>
      <c r="AF504" s="9"/>
      <c r="AG504" s="9"/>
      <c r="AH504" s="9"/>
      <c r="AI504" s="9"/>
      <c r="AJ504" s="9"/>
      <c r="AK504" s="9"/>
      <c r="AL504" s="9"/>
      <c r="AM504" s="9"/>
      <c r="AN504" s="9"/>
      <c r="AO504" s="9"/>
      <c r="AP504" s="9"/>
      <c r="AQ504" s="9"/>
      <c r="AR504" s="9"/>
      <c r="AS504" s="9"/>
      <c r="AT504" s="9"/>
      <c r="AU504" s="9"/>
      <c r="AV504" s="9"/>
      <c r="AW504" s="9"/>
      <c r="AX504" s="9"/>
      <c r="AY504" s="9"/>
      <c r="AZ504" s="9"/>
      <c r="BA504" s="9"/>
      <c r="BB504" s="9"/>
      <c r="BC504" s="9"/>
      <c r="BD504" s="9"/>
      <c r="BE504" s="9"/>
      <c r="BF504" s="9"/>
      <c r="BG504" s="9"/>
      <c r="BH504" s="9"/>
      <c r="BI504" s="9"/>
      <c r="BJ504" s="9"/>
      <c r="BK504" s="9"/>
      <c r="BL504" s="9"/>
      <c r="BM504" s="9"/>
      <c r="BN504" s="9"/>
      <c r="BO504" s="9"/>
      <c r="BP504" s="9"/>
      <c r="BQ504" s="9"/>
      <c r="BR504" s="9"/>
      <c r="BS504" s="9"/>
      <c r="BT504" s="9"/>
      <c r="BU504" s="9"/>
      <c r="BV504" s="9"/>
      <c r="BW504" s="9"/>
      <c r="BX504" s="9"/>
      <c r="BY504" s="9"/>
      <c r="BZ504" s="9"/>
      <c r="CA504" s="9"/>
      <c r="CB504" s="9"/>
      <c r="CC504" s="9"/>
      <c r="CD504" s="9"/>
      <c r="CE504" s="9"/>
      <c r="CF504" s="9"/>
      <c r="CG504" s="9"/>
      <c r="CH504" s="9"/>
      <c r="CI504" s="9"/>
      <c r="CJ504" s="9"/>
      <c r="CK504" s="9"/>
      <c r="CL504" s="9"/>
      <c r="CM504" s="9"/>
      <c r="CN504" s="9"/>
      <c r="CO504" s="9"/>
      <c r="CP504" s="9"/>
      <c r="CQ504" s="9"/>
      <c r="CR504" s="9"/>
      <c r="CS504" s="9"/>
      <c r="CT504" s="9"/>
      <c r="CU504" s="9"/>
      <c r="CV504" s="9"/>
      <c r="CW504" s="9"/>
      <c r="CX504" s="9"/>
      <c r="CY504" s="9"/>
      <c r="CZ504" s="9"/>
      <c r="DA504" s="9"/>
      <c r="DB504" s="9"/>
      <c r="DC504" s="9"/>
      <c r="DD504" s="9"/>
      <c r="DE504" s="9"/>
      <c r="DF504" s="9"/>
      <c r="DG504" s="9"/>
      <c r="DH504" s="9"/>
      <c r="DI504" s="9"/>
      <c r="DJ504" s="9"/>
      <c r="DK504" s="9"/>
      <c r="DL504" s="9"/>
      <c r="DM504" s="9"/>
      <c r="DN504" s="9"/>
      <c r="DO504" s="9"/>
      <c r="DP504" s="9"/>
      <c r="DQ504" s="9"/>
      <c r="DR504" s="9"/>
      <c r="DS504" s="9"/>
      <c r="DT504" s="9"/>
      <c r="DU504" s="9"/>
      <c r="DV504" s="9"/>
      <c r="DW504" s="9"/>
      <c r="DX504" s="9"/>
      <c r="DY504" s="9"/>
      <c r="DZ504" s="9"/>
      <c r="EA504" s="9"/>
      <c r="EB504" s="9"/>
      <c r="EC504" s="9"/>
      <c r="ED504" s="9"/>
      <c r="EE504" s="9"/>
      <c r="EF504" s="9"/>
      <c r="EG504" s="9"/>
      <c r="EH504" s="9"/>
      <c r="EI504" s="9"/>
      <c r="EJ504" s="9"/>
      <c r="EK504" s="9"/>
      <c r="EL504" s="9"/>
      <c r="EM504" s="9"/>
      <c r="EN504" s="9"/>
      <c r="EO504" s="9"/>
      <c r="EP504" s="9"/>
      <c r="EQ504" s="9"/>
      <c r="ER504" s="9"/>
      <c r="ES504" s="9"/>
      <c r="ET504" s="9"/>
      <c r="EU504" s="9"/>
      <c r="EV504" s="9"/>
      <c r="EW504" s="9"/>
      <c r="EX504" s="9"/>
      <c r="EY504" s="9"/>
      <c r="EZ504" s="9"/>
      <c r="FA504" s="9"/>
      <c r="FB504" s="9"/>
      <c r="FC504" s="9"/>
      <c r="FD504" s="9"/>
      <c r="FE504" s="9"/>
      <c r="FF504" s="9"/>
      <c r="FG504" s="9"/>
      <c r="FH504" s="9"/>
      <c r="FI504" s="9"/>
      <c r="FJ504" s="9"/>
      <c r="FK504" s="9"/>
      <c r="FL504" s="9"/>
      <c r="FM504" s="9"/>
      <c r="FN504" s="9"/>
      <c r="FO504" s="9"/>
      <c r="FP504" s="9"/>
      <c r="FQ504" s="9"/>
      <c r="FR504" s="9"/>
      <c r="FS504" s="9"/>
      <c r="FT504" s="9"/>
      <c r="FU504" s="9"/>
      <c r="FV504" s="9"/>
      <c r="FW504" s="9"/>
      <c r="FX504" s="9"/>
      <c r="FY504" s="9"/>
      <c r="FZ504" s="9"/>
      <c r="GA504" s="9"/>
      <c r="GB504" s="9"/>
      <c r="GC504" s="9"/>
      <c r="GD504" s="9"/>
      <c r="GE504" s="9"/>
      <c r="GF504" s="9"/>
      <c r="GG504" s="9"/>
      <c r="GH504" s="9"/>
      <c r="GI504" s="9"/>
      <c r="GJ504" s="9"/>
      <c r="GK504" s="9"/>
      <c r="GL504" s="9"/>
      <c r="GM504" s="9"/>
      <c r="GN504" s="9"/>
      <c r="GO504" s="9"/>
      <c r="GP504" s="9"/>
      <c r="GQ504" s="9"/>
      <c r="GR504" s="9"/>
      <c r="GS504" s="9"/>
      <c r="GT504" s="9"/>
      <c r="GU504" s="9"/>
      <c r="GV504" s="9"/>
      <c r="GW504" s="9"/>
      <c r="GX504" s="9"/>
      <c r="GY504" s="9"/>
      <c r="GZ504" s="9"/>
      <c r="HA504" s="9"/>
      <c r="HB504" s="9"/>
      <c r="HC504" s="9"/>
      <c r="HD504" s="9"/>
      <c r="HE504" s="9"/>
      <c r="HF504" s="9"/>
      <c r="HG504" s="9"/>
      <c r="HH504" s="9"/>
      <c r="HI504" s="9"/>
      <c r="HJ504" s="9"/>
      <c r="HK504" s="9"/>
      <c r="HL504" s="9"/>
      <c r="HM504" s="9"/>
      <c r="HN504" s="9"/>
      <c r="HO504" s="9"/>
      <c r="HP504" s="9"/>
      <c r="HQ504" s="9"/>
      <c r="HR504" s="9"/>
      <c r="HS504" s="9"/>
      <c r="HT504" s="9"/>
      <c r="HU504" s="9"/>
      <c r="HV504" s="9"/>
      <c r="HW504" s="9"/>
      <c r="HX504" s="9"/>
      <c r="HY504" s="9"/>
      <c r="HZ504" s="9"/>
      <c r="IA504" s="9"/>
      <c r="IB504" s="9"/>
      <c r="IC504" s="9"/>
      <c r="ID504" s="9"/>
      <c r="IE504" s="9"/>
      <c r="IF504" s="9"/>
      <c r="IG504" s="9"/>
      <c r="IH504" s="9"/>
      <c r="II504" s="9"/>
      <c r="IJ504" s="9"/>
      <c r="IK504" s="9"/>
      <c r="IL504" s="9"/>
      <c r="IM504" s="9"/>
      <c r="IN504" s="9"/>
      <c r="IO504" s="9"/>
      <c r="IP504" s="9"/>
      <c r="IQ504" s="9"/>
      <c r="IR504" s="9"/>
      <c r="IS504" s="9"/>
      <c r="IT504" s="9"/>
      <c r="IU504" s="9"/>
      <c r="IV504" s="9"/>
    </row>
    <row r="505" spans="1:256">
      <c r="B505" s="9" t="s">
        <v>1242</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B506" s="9" t="s">
        <v>2176</v>
      </c>
      <c r="C506" s="9"/>
      <c r="D506" s="10"/>
      <c r="E506" s="9"/>
      <c r="F506" s="10"/>
      <c r="G506" s="9"/>
      <c r="H506" s="10"/>
      <c r="I506" s="9"/>
      <c r="J506" s="10"/>
      <c r="K506" s="9"/>
      <c r="L506" s="10"/>
      <c r="M506" s="9"/>
      <c r="N506" s="10"/>
      <c r="O506" s="9"/>
      <c r="P506" s="10"/>
      <c r="Q506" s="9"/>
      <c r="R506" s="10"/>
      <c r="S506" s="9"/>
      <c r="T506" s="10"/>
      <c r="U506" s="9"/>
      <c r="V506" s="10"/>
      <c r="W506" s="9"/>
      <c r="X506" s="10"/>
      <c r="Y506" s="9"/>
      <c r="Z506" s="10"/>
      <c r="AA506" s="9"/>
      <c r="AB506" s="10"/>
      <c r="AC506" s="9"/>
      <c r="AD506" s="10"/>
      <c r="AE506" s="9"/>
      <c r="AF506" s="10"/>
      <c r="AG506" s="9"/>
      <c r="AH506" s="10"/>
      <c r="AI506" s="9"/>
      <c r="AJ506" s="10"/>
      <c r="AK506" s="9"/>
      <c r="AL506" s="10"/>
      <c r="AM506" s="9"/>
      <c r="AN506" s="10"/>
      <c r="AO506" s="9"/>
      <c r="AP506" s="10"/>
      <c r="AQ506" s="9"/>
      <c r="AR506" s="10"/>
      <c r="AS506" s="9"/>
      <c r="AT506" s="10"/>
      <c r="AU506" s="9"/>
      <c r="AV506" s="10"/>
      <c r="AW506" s="9"/>
      <c r="AX506" s="10"/>
      <c r="AY506" s="9"/>
      <c r="AZ506" s="10"/>
      <c r="BA506" s="9"/>
      <c r="BB506" s="10"/>
      <c r="BC506" s="9"/>
      <c r="BD506" s="10"/>
      <c r="BE506" s="9"/>
      <c r="BF506" s="10"/>
      <c r="BG506" s="9"/>
      <c r="BH506" s="10"/>
      <c r="BI506" s="9"/>
      <c r="BJ506" s="10"/>
      <c r="BK506" s="9"/>
      <c r="BL506" s="10"/>
      <c r="BM506" s="9"/>
      <c r="BN506" s="10"/>
      <c r="BO506" s="9"/>
      <c r="BP506" s="10"/>
      <c r="BQ506" s="9"/>
      <c r="BR506" s="10"/>
      <c r="BS506" s="9"/>
      <c r="BT506" s="10"/>
      <c r="BU506" s="9"/>
      <c r="BV506" s="10"/>
      <c r="BW506" s="9"/>
      <c r="BX506" s="10"/>
      <c r="BY506" s="9"/>
      <c r="BZ506" s="10"/>
      <c r="CA506" s="9"/>
      <c r="CB506" s="10"/>
      <c r="CC506" s="9"/>
      <c r="CD506" s="10"/>
      <c r="CE506" s="9"/>
      <c r="CF506" s="10"/>
      <c r="CG506" s="9"/>
      <c r="CH506" s="10"/>
      <c r="CI506" s="9"/>
      <c r="CJ506" s="10"/>
      <c r="CK506" s="9"/>
      <c r="CL506" s="10"/>
      <c r="CM506" s="9"/>
      <c r="CN506" s="10"/>
      <c r="CO506" s="9"/>
      <c r="CP506" s="10"/>
      <c r="CQ506" s="9"/>
      <c r="CR506" s="10"/>
      <c r="CS506" s="9"/>
      <c r="CT506" s="10"/>
      <c r="CU506" s="9"/>
      <c r="CV506" s="10"/>
      <c r="CW506" s="9"/>
      <c r="CX506" s="10"/>
      <c r="CY506" s="9"/>
      <c r="CZ506" s="10"/>
      <c r="DA506" s="9"/>
      <c r="DB506" s="10"/>
      <c r="DC506" s="9"/>
      <c r="DD506" s="10"/>
      <c r="DE506" s="9"/>
      <c r="DF506" s="10"/>
      <c r="DG506" s="9"/>
      <c r="DH506" s="10"/>
      <c r="DI506" s="9"/>
      <c r="DJ506" s="10"/>
      <c r="DK506" s="9"/>
      <c r="DL506" s="10"/>
      <c r="DM506" s="9"/>
      <c r="DN506" s="10"/>
      <c r="DO506" s="9"/>
      <c r="DP506" s="10"/>
      <c r="DQ506" s="9"/>
      <c r="DR506" s="10"/>
      <c r="DS506" s="9"/>
      <c r="DT506" s="10"/>
      <c r="DU506" s="9"/>
      <c r="DV506" s="10"/>
      <c r="DW506" s="9"/>
      <c r="DX506" s="10"/>
      <c r="DY506" s="9"/>
      <c r="DZ506" s="10"/>
      <c r="EA506" s="9"/>
      <c r="EB506" s="10"/>
      <c r="EC506" s="9"/>
      <c r="ED506" s="10"/>
      <c r="EE506" s="9"/>
      <c r="EF506" s="10"/>
      <c r="EG506" s="9"/>
      <c r="EH506" s="10"/>
      <c r="EI506" s="9"/>
      <c r="EJ506" s="10"/>
      <c r="EK506" s="9"/>
      <c r="EL506" s="10"/>
      <c r="EM506" s="9"/>
      <c r="EN506" s="10"/>
      <c r="EO506" s="9"/>
      <c r="EP506" s="10"/>
      <c r="EQ506" s="9"/>
      <c r="ER506" s="10"/>
      <c r="ES506" s="9"/>
      <c r="ET506" s="10"/>
      <c r="EU506" s="9"/>
      <c r="EV506" s="10"/>
      <c r="EW506" s="9"/>
      <c r="EX506" s="10"/>
      <c r="EY506" s="9"/>
      <c r="EZ506" s="10"/>
      <c r="FA506" s="9"/>
      <c r="FB506" s="10"/>
      <c r="FC506" s="9"/>
      <c r="FD506" s="10"/>
      <c r="FE506" s="9"/>
      <c r="FF506" s="10"/>
      <c r="FG506" s="9"/>
      <c r="FH506" s="10"/>
      <c r="FI506" s="9"/>
      <c r="FJ506" s="10"/>
      <c r="FK506" s="9"/>
      <c r="FL506" s="10"/>
      <c r="FM506" s="9"/>
      <c r="FN506" s="10"/>
      <c r="FO506" s="9"/>
      <c r="FP506" s="10"/>
      <c r="FQ506" s="9"/>
      <c r="FR506" s="10"/>
      <c r="FS506" s="9"/>
      <c r="FT506" s="10"/>
      <c r="FU506" s="9"/>
      <c r="FV506" s="10"/>
      <c r="FW506" s="9"/>
      <c r="FX506" s="10"/>
      <c r="FY506" s="9"/>
      <c r="FZ506" s="10"/>
      <c r="GA506" s="9"/>
      <c r="GB506" s="10"/>
      <c r="GC506" s="9"/>
      <c r="GD506" s="10"/>
      <c r="GE506" s="9"/>
      <c r="GF506" s="10"/>
      <c r="GG506" s="9"/>
      <c r="GH506" s="10"/>
      <c r="GI506" s="9"/>
      <c r="GJ506" s="10"/>
      <c r="GK506" s="9"/>
      <c r="GL506" s="10"/>
      <c r="GM506" s="9"/>
      <c r="GN506" s="10"/>
      <c r="GO506" s="9"/>
      <c r="GP506" s="10"/>
      <c r="GQ506" s="9"/>
      <c r="GR506" s="10"/>
      <c r="GS506" s="9"/>
      <c r="GT506" s="10"/>
      <c r="GU506" s="9"/>
      <c r="GV506" s="10"/>
      <c r="GW506" s="9"/>
      <c r="GX506" s="10"/>
      <c r="GY506" s="9"/>
      <c r="GZ506" s="10"/>
      <c r="HA506" s="9"/>
      <c r="HB506" s="10"/>
      <c r="HC506" s="9"/>
      <c r="HD506" s="10"/>
      <c r="HE506" s="9"/>
      <c r="HF506" s="10"/>
      <c r="HG506" s="9"/>
      <c r="HH506" s="10"/>
      <c r="HI506" s="9"/>
      <c r="HJ506" s="10"/>
      <c r="HK506" s="9"/>
      <c r="HL506" s="10"/>
      <c r="HM506" s="9"/>
      <c r="HN506" s="10"/>
      <c r="HO506" s="9"/>
      <c r="HP506" s="10"/>
      <c r="HQ506" s="9"/>
      <c r="HR506" s="10"/>
      <c r="HS506" s="9"/>
      <c r="HT506" s="10"/>
      <c r="HU506" s="9"/>
      <c r="HV506" s="10"/>
      <c r="HW506" s="9"/>
      <c r="HX506" s="10"/>
      <c r="HY506" s="9"/>
      <c r="HZ506" s="10"/>
      <c r="IA506" s="9"/>
      <c r="IB506" s="10"/>
      <c r="IC506" s="9"/>
      <c r="ID506" s="10"/>
      <c r="IE506" s="9"/>
      <c r="IF506" s="10"/>
      <c r="IG506" s="9"/>
      <c r="IH506" s="10"/>
      <c r="II506" s="9"/>
      <c r="IJ506" s="10"/>
      <c r="IK506" s="9"/>
      <c r="IL506" s="10"/>
      <c r="IM506" s="9"/>
      <c r="IN506" s="10"/>
      <c r="IO506" s="9"/>
      <c r="IP506" s="10"/>
      <c r="IQ506" s="9"/>
      <c r="IR506" s="10"/>
      <c r="IS506" s="9"/>
      <c r="IT506" s="10"/>
      <c r="IU506" s="9"/>
      <c r="IV506" s="10"/>
    </row>
    <row r="507" spans="1:256">
      <c r="B507" s="10" t="s">
        <v>2177</v>
      </c>
      <c r="C507" s="9"/>
      <c r="D507" s="10"/>
      <c r="E507" s="9"/>
      <c r="F507" s="10"/>
      <c r="G507" s="9"/>
      <c r="H507" s="10"/>
      <c r="I507" s="9"/>
      <c r="J507" s="10"/>
      <c r="K507" s="9"/>
      <c r="L507" s="10"/>
      <c r="M507" s="9"/>
      <c r="N507" s="10"/>
      <c r="O507" s="9"/>
      <c r="P507" s="10"/>
      <c r="Q507" s="9"/>
      <c r="R507" s="10"/>
      <c r="S507" s="9"/>
      <c r="T507" s="10"/>
      <c r="U507" s="9"/>
      <c r="V507" s="10"/>
      <c r="W507" s="9"/>
      <c r="X507" s="10"/>
      <c r="Y507" s="9"/>
      <c r="Z507" s="10"/>
      <c r="AA507" s="9"/>
      <c r="AB507" s="10"/>
      <c r="AC507" s="9"/>
      <c r="AD507" s="10"/>
      <c r="AE507" s="9"/>
      <c r="AF507" s="10"/>
      <c r="AG507" s="9"/>
      <c r="AH507" s="10"/>
      <c r="AI507" s="9"/>
      <c r="AJ507" s="10"/>
      <c r="AK507" s="9"/>
      <c r="AL507" s="10"/>
      <c r="AM507" s="9"/>
      <c r="AN507" s="10"/>
      <c r="AO507" s="9"/>
      <c r="AP507" s="10"/>
      <c r="AQ507" s="9"/>
      <c r="AR507" s="10"/>
      <c r="AS507" s="9"/>
      <c r="AT507" s="10"/>
      <c r="AU507" s="9"/>
      <c r="AV507" s="10"/>
      <c r="AW507" s="9"/>
      <c r="AX507" s="10"/>
      <c r="AY507" s="9"/>
      <c r="AZ507" s="10"/>
      <c r="BA507" s="9"/>
      <c r="BB507" s="10"/>
      <c r="BC507" s="9"/>
      <c r="BD507" s="10"/>
      <c r="BE507" s="9"/>
      <c r="BF507" s="10"/>
      <c r="BG507" s="9"/>
      <c r="BH507" s="10"/>
      <c r="BI507" s="9"/>
      <c r="BJ507" s="10"/>
      <c r="BK507" s="9"/>
      <c r="BL507" s="10"/>
      <c r="BM507" s="9"/>
      <c r="BN507" s="10"/>
      <c r="BO507" s="9"/>
      <c r="BP507" s="10"/>
      <c r="BQ507" s="9"/>
      <c r="BR507" s="10"/>
      <c r="BS507" s="9"/>
      <c r="BT507" s="10"/>
      <c r="BU507" s="9"/>
      <c r="BV507" s="10"/>
      <c r="BW507" s="9"/>
      <c r="BX507" s="10"/>
      <c r="BY507" s="9"/>
      <c r="BZ507" s="10"/>
      <c r="CA507" s="9"/>
      <c r="CB507" s="10"/>
      <c r="CC507" s="9"/>
      <c r="CD507" s="10"/>
      <c r="CE507" s="9"/>
      <c r="CF507" s="10"/>
      <c r="CG507" s="9"/>
      <c r="CH507" s="10"/>
      <c r="CI507" s="9"/>
      <c r="CJ507" s="10"/>
      <c r="CK507" s="9"/>
      <c r="CL507" s="10"/>
      <c r="CM507" s="9"/>
      <c r="CN507" s="10"/>
      <c r="CO507" s="9"/>
      <c r="CP507" s="10"/>
      <c r="CQ507" s="9"/>
      <c r="CR507" s="10"/>
      <c r="CS507" s="9"/>
      <c r="CT507" s="10"/>
      <c r="CU507" s="9"/>
      <c r="CV507" s="10"/>
      <c r="CW507" s="9"/>
      <c r="CX507" s="10"/>
      <c r="CY507" s="9"/>
      <c r="CZ507" s="10"/>
      <c r="DA507" s="9"/>
      <c r="DB507" s="10"/>
      <c r="DC507" s="9"/>
      <c r="DD507" s="10"/>
      <c r="DE507" s="9"/>
      <c r="DF507" s="10"/>
      <c r="DG507" s="9"/>
      <c r="DH507" s="10"/>
      <c r="DI507" s="9"/>
      <c r="DJ507" s="10"/>
      <c r="DK507" s="9"/>
      <c r="DL507" s="10"/>
      <c r="DM507" s="9"/>
      <c r="DN507" s="10"/>
      <c r="DO507" s="9"/>
      <c r="DP507" s="10"/>
      <c r="DQ507" s="9"/>
      <c r="DR507" s="10"/>
      <c r="DS507" s="9"/>
      <c r="DT507" s="10"/>
      <c r="DU507" s="9"/>
      <c r="DV507" s="10"/>
      <c r="DW507" s="9"/>
      <c r="DX507" s="10"/>
      <c r="DY507" s="9"/>
      <c r="DZ507" s="10"/>
      <c r="EA507" s="9"/>
      <c r="EB507" s="10"/>
      <c r="EC507" s="9"/>
      <c r="ED507" s="10"/>
      <c r="EE507" s="9"/>
      <c r="EF507" s="10"/>
      <c r="EG507" s="9"/>
      <c r="EH507" s="10"/>
      <c r="EI507" s="9"/>
      <c r="EJ507" s="10"/>
      <c r="EK507" s="9"/>
      <c r="EL507" s="10"/>
      <c r="EM507" s="9"/>
      <c r="EN507" s="10"/>
      <c r="EO507" s="9"/>
      <c r="EP507" s="10"/>
      <c r="EQ507" s="9"/>
      <c r="ER507" s="10"/>
      <c r="ES507" s="9"/>
      <c r="ET507" s="10"/>
      <c r="EU507" s="9"/>
      <c r="EV507" s="10"/>
      <c r="EW507" s="9"/>
      <c r="EX507" s="10"/>
      <c r="EY507" s="9"/>
      <c r="EZ507" s="10"/>
      <c r="FA507" s="9"/>
      <c r="FB507" s="10"/>
      <c r="FC507" s="9"/>
      <c r="FD507" s="10"/>
      <c r="FE507" s="9"/>
      <c r="FF507" s="10"/>
      <c r="FG507" s="9"/>
      <c r="FH507" s="10"/>
      <c r="FI507" s="9"/>
      <c r="FJ507" s="10"/>
      <c r="FK507" s="9"/>
      <c r="FL507" s="10"/>
      <c r="FM507" s="9"/>
      <c r="FN507" s="10"/>
      <c r="FO507" s="9"/>
      <c r="FP507" s="10"/>
      <c r="FQ507" s="9"/>
      <c r="FR507" s="10"/>
      <c r="FS507" s="9"/>
      <c r="FT507" s="10"/>
      <c r="FU507" s="9"/>
      <c r="FV507" s="10"/>
      <c r="FW507" s="9"/>
      <c r="FX507" s="10"/>
      <c r="FY507" s="9"/>
      <c r="FZ507" s="10"/>
      <c r="GA507" s="9"/>
      <c r="GB507" s="10"/>
      <c r="GC507" s="9"/>
      <c r="GD507" s="10"/>
      <c r="GE507" s="9"/>
      <c r="GF507" s="10"/>
      <c r="GG507" s="9"/>
      <c r="GH507" s="10"/>
      <c r="GI507" s="9"/>
      <c r="GJ507" s="10"/>
      <c r="GK507" s="9"/>
      <c r="GL507" s="10"/>
      <c r="GM507" s="9"/>
      <c r="GN507" s="10"/>
      <c r="GO507" s="9"/>
      <c r="GP507" s="10"/>
      <c r="GQ507" s="9"/>
      <c r="GR507" s="10"/>
      <c r="GS507" s="9"/>
      <c r="GT507" s="10"/>
      <c r="GU507" s="9"/>
      <c r="GV507" s="10"/>
      <c r="GW507" s="9"/>
      <c r="GX507" s="10"/>
      <c r="GY507" s="9"/>
      <c r="GZ507" s="10"/>
      <c r="HA507" s="9"/>
      <c r="HB507" s="10"/>
      <c r="HC507" s="9"/>
      <c r="HD507" s="10"/>
      <c r="HE507" s="9"/>
      <c r="HF507" s="10"/>
      <c r="HG507" s="9"/>
      <c r="HH507" s="10"/>
      <c r="HI507" s="9"/>
      <c r="HJ507" s="10"/>
      <c r="HK507" s="9"/>
      <c r="HL507" s="10"/>
      <c r="HM507" s="9"/>
      <c r="HN507" s="10"/>
      <c r="HO507" s="9"/>
      <c r="HP507" s="10"/>
      <c r="HQ507" s="9"/>
      <c r="HR507" s="10"/>
      <c r="HS507" s="9"/>
      <c r="HT507" s="10"/>
      <c r="HU507" s="9"/>
      <c r="HV507" s="10"/>
      <c r="HW507" s="9"/>
      <c r="HX507" s="10"/>
      <c r="HY507" s="9"/>
      <c r="HZ507" s="10"/>
      <c r="IA507" s="9"/>
      <c r="IB507" s="10"/>
      <c r="IC507" s="9"/>
      <c r="ID507" s="10"/>
      <c r="IE507" s="9"/>
      <c r="IF507" s="10"/>
      <c r="IG507" s="9"/>
      <c r="IH507" s="10"/>
      <c r="II507" s="9"/>
      <c r="IJ507" s="10"/>
      <c r="IK507" s="9"/>
      <c r="IL507" s="10"/>
      <c r="IM507" s="9"/>
      <c r="IN507" s="10"/>
      <c r="IO507" s="9"/>
      <c r="IP507" s="10"/>
      <c r="IQ507" s="9"/>
      <c r="IR507" s="10"/>
      <c r="IS507" s="9"/>
      <c r="IT507" s="10"/>
      <c r="IU507" s="9"/>
      <c r="IV507" s="10"/>
    </row>
    <row r="508" spans="1:256">
      <c r="A508" s="9" t="s">
        <v>2248</v>
      </c>
      <c r="B508" s="9" t="s">
        <v>2178</v>
      </c>
    </row>
    <row r="509" spans="1:256">
      <c r="A509" s="9" t="s">
        <v>2179</v>
      </c>
      <c r="B509" s="10" t="s">
        <v>2180</v>
      </c>
    </row>
    <row r="510" spans="1:256">
      <c r="B510" s="10" t="s">
        <v>2181</v>
      </c>
    </row>
    <row r="511" spans="1:256">
      <c r="B511" s="10"/>
    </row>
    <row r="512" spans="1:256">
      <c r="A512" s="9" t="s">
        <v>1671</v>
      </c>
    </row>
    <row r="513" spans="1:10">
      <c r="A513" s="9" t="s">
        <v>2247</v>
      </c>
      <c r="B513" s="9" t="s">
        <v>1670</v>
      </c>
    </row>
    <row r="514" spans="1:10">
      <c r="B514" s="9" t="s">
        <v>2211</v>
      </c>
      <c r="J514" s="10"/>
    </row>
    <row r="515" spans="1:10">
      <c r="A515" s="9" t="s">
        <v>2248</v>
      </c>
      <c r="B515" s="9" t="s">
        <v>161</v>
      </c>
    </row>
    <row r="517" spans="1:10">
      <c r="A517" s="9" t="s">
        <v>1580</v>
      </c>
      <c r="B517" s="9" t="s">
        <v>1581</v>
      </c>
    </row>
    <row r="518" spans="1:10">
      <c r="A518" s="9" t="s">
        <v>1584</v>
      </c>
      <c r="B518" s="9" t="s">
        <v>1585</v>
      </c>
    </row>
    <row r="519" spans="1:10">
      <c r="B519" s="9" t="s">
        <v>1583</v>
      </c>
    </row>
    <row r="520" spans="1:10">
      <c r="B520" s="9" t="s">
        <v>1427</v>
      </c>
    </row>
    <row r="521" spans="1:10">
      <c r="B521" s="9" t="s">
        <v>1716</v>
      </c>
    </row>
    <row r="522" spans="1:10">
      <c r="B522" s="9" t="s">
        <v>1717</v>
      </c>
    </row>
    <row r="523" spans="1:10">
      <c r="B523" s="9" t="s">
        <v>219</v>
      </c>
    </row>
    <row r="524" spans="1:10">
      <c r="B524" s="9" t="s">
        <v>220</v>
      </c>
    </row>
    <row r="525" spans="1:10">
      <c r="B525" s="9" t="s">
        <v>221</v>
      </c>
    </row>
    <row r="527" spans="1:10">
      <c r="A527" s="9" t="s">
        <v>726</v>
      </c>
    </row>
    <row r="528" spans="1:10">
      <c r="A528" s="9" t="s">
        <v>2247</v>
      </c>
      <c r="B528" s="10" t="s">
        <v>725</v>
      </c>
    </row>
    <row r="529" spans="1:2">
      <c r="B529" s="9" t="s">
        <v>937</v>
      </c>
    </row>
    <row r="530" spans="1:2">
      <c r="A530" s="9" t="s">
        <v>1566</v>
      </c>
      <c r="B530" s="9" t="s">
        <v>544</v>
      </c>
    </row>
    <row r="531" spans="1:2">
      <c r="A531" s="9" t="s">
        <v>2248</v>
      </c>
      <c r="B531" s="285" t="s">
        <v>1438</v>
      </c>
    </row>
    <row r="532" spans="1:2">
      <c r="B532" s="10" t="s">
        <v>282</v>
      </c>
    </row>
    <row r="533" spans="1:2">
      <c r="B533" s="10" t="s">
        <v>278</v>
      </c>
    </row>
    <row r="534" spans="1:2">
      <c r="B534" s="10" t="s">
        <v>1760</v>
      </c>
    </row>
    <row r="535" spans="1:2">
      <c r="B535" s="10" t="s">
        <v>1530</v>
      </c>
    </row>
    <row r="536" spans="1:2">
      <c r="B536" s="10" t="s">
        <v>545</v>
      </c>
    </row>
    <row r="537" spans="1:2">
      <c r="B537" s="48" t="s">
        <v>1430</v>
      </c>
    </row>
    <row r="538" spans="1:2">
      <c r="B538" s="126" t="s">
        <v>1429</v>
      </c>
    </row>
    <row r="539" spans="1:2">
      <c r="B539" s="10" t="s">
        <v>280</v>
      </c>
    </row>
    <row r="540" spans="1:2">
      <c r="B540" s="10" t="s">
        <v>548</v>
      </c>
    </row>
    <row r="541" spans="1:2">
      <c r="B541" s="10" t="s">
        <v>281</v>
      </c>
    </row>
    <row r="542" spans="1:2">
      <c r="B542" s="10" t="s">
        <v>1432</v>
      </c>
    </row>
    <row r="543" spans="1:2">
      <c r="B543" s="10" t="s">
        <v>1431</v>
      </c>
    </row>
    <row r="544" spans="1:2">
      <c r="B544" s="10" t="s">
        <v>1531</v>
      </c>
    </row>
    <row r="545" spans="1:6">
      <c r="A545" s="2"/>
      <c r="B545" s="10" t="s">
        <v>279</v>
      </c>
    </row>
    <row r="546" spans="1:6">
      <c r="A546" s="2"/>
      <c r="B546" s="10" t="s">
        <v>727</v>
      </c>
      <c r="F546" s="286"/>
    </row>
    <row r="547" spans="1:6">
      <c r="A547" s="2"/>
      <c r="B547" s="10" t="s">
        <v>546</v>
      </c>
    </row>
    <row r="548" spans="1:6">
      <c r="A548" s="2"/>
      <c r="B548" s="10" t="s">
        <v>1433</v>
      </c>
    </row>
    <row r="549" spans="1:6">
      <c r="A549" s="2"/>
      <c r="B549" s="10" t="s">
        <v>1302</v>
      </c>
    </row>
    <row r="550" spans="1:6">
      <c r="A550" s="2"/>
      <c r="B550" s="10" t="s">
        <v>1437</v>
      </c>
    </row>
    <row r="551" spans="1:6">
      <c r="A551" s="2"/>
      <c r="B551" s="10" t="s">
        <v>277</v>
      </c>
    </row>
    <row r="552" spans="1:6">
      <c r="A552" s="2"/>
      <c r="B552" s="10" t="s">
        <v>1434</v>
      </c>
    </row>
    <row r="553" spans="1:6">
      <c r="A553" s="2"/>
      <c r="B553" s="10" t="s">
        <v>1435</v>
      </c>
    </row>
    <row r="554" spans="1:6">
      <c r="A554" s="2"/>
      <c r="B554" s="10" t="s">
        <v>1436</v>
      </c>
    </row>
    <row r="555" spans="1:6">
      <c r="A555" s="2"/>
      <c r="B555" s="10" t="s">
        <v>1763</v>
      </c>
    </row>
    <row r="556" spans="1:6">
      <c r="A556" s="2"/>
      <c r="B556" s="10" t="s">
        <v>1528</v>
      </c>
    </row>
    <row r="557" spans="1:6">
      <c r="A557" s="2"/>
      <c r="B557" s="10" t="s">
        <v>1525</v>
      </c>
    </row>
    <row r="558" spans="1:6">
      <c r="A558" s="2"/>
      <c r="B558" s="10" t="s">
        <v>1529</v>
      </c>
    </row>
    <row r="559" spans="1:6">
      <c r="A559" s="2"/>
      <c r="B559" s="10" t="s">
        <v>1526</v>
      </c>
    </row>
    <row r="560" spans="1:6">
      <c r="A560" s="2"/>
      <c r="B560" s="10" t="s">
        <v>1527</v>
      </c>
    </row>
    <row r="561" spans="1:2">
      <c r="A561" s="2"/>
      <c r="B561" s="10" t="s">
        <v>1762</v>
      </c>
    </row>
    <row r="562" spans="1:2">
      <c r="A562" s="2"/>
      <c r="B562" s="10" t="s">
        <v>1421</v>
      </c>
    </row>
    <row r="563" spans="1:2">
      <c r="A563" s="2"/>
      <c r="B563" s="10" t="s">
        <v>1766</v>
      </c>
    </row>
    <row r="564" spans="1:2">
      <c r="A564" s="2"/>
      <c r="B564" s="10" t="s">
        <v>1761</v>
      </c>
    </row>
    <row r="565" spans="1:2">
      <c r="A565" s="2"/>
      <c r="B565" s="10" t="s">
        <v>1767</v>
      </c>
    </row>
    <row r="566" spans="1:2">
      <c r="A566" s="2"/>
      <c r="B566" s="10" t="s">
        <v>1765</v>
      </c>
    </row>
    <row r="567" spans="1:2">
      <c r="A567" s="2"/>
      <c r="B567" s="10" t="s">
        <v>1764</v>
      </c>
    </row>
    <row r="568" spans="1:2">
      <c r="A568" s="2"/>
      <c r="B568" s="10" t="s">
        <v>1768</v>
      </c>
    </row>
    <row r="569" spans="1:2">
      <c r="A569" s="2"/>
      <c r="B569" s="10" t="s">
        <v>547</v>
      </c>
    </row>
    <row r="570" spans="1:2">
      <c r="A570" s="2"/>
      <c r="B570" s="10" t="s">
        <v>159</v>
      </c>
    </row>
    <row r="571" spans="1:2">
      <c r="A571" s="2"/>
      <c r="B571" s="10" t="s">
        <v>1422</v>
      </c>
    </row>
    <row r="572" spans="1:2">
      <c r="A572" s="2"/>
      <c r="B572" s="10" t="s">
        <v>1423</v>
      </c>
    </row>
    <row r="573" spans="1:2">
      <c r="A573" s="2"/>
      <c r="B573" s="10" t="s">
        <v>1424</v>
      </c>
    </row>
    <row r="574" spans="1:2">
      <c r="A574" s="2"/>
      <c r="B574" s="10" t="s">
        <v>158</v>
      </c>
    </row>
    <row r="575" spans="1:2">
      <c r="A575" s="2"/>
      <c r="B575" s="10"/>
    </row>
    <row r="576" spans="1:2">
      <c r="A576" s="2"/>
      <c r="B576" s="10"/>
    </row>
    <row r="577" spans="1:2">
      <c r="A577" s="2"/>
      <c r="B577" s="285" t="s">
        <v>543</v>
      </c>
    </row>
    <row r="578" spans="1:2">
      <c r="B578" s="286" t="s">
        <v>549</v>
      </c>
    </row>
    <row r="580" spans="1:2">
      <c r="A580" s="9" t="s">
        <v>1031</v>
      </c>
    </row>
    <row r="581" spans="1:2">
      <c r="A581" s="9" t="s">
        <v>276</v>
      </c>
      <c r="B581" s="9" t="s">
        <v>963</v>
      </c>
    </row>
    <row r="582" spans="1:2">
      <c r="A582" s="9" t="s">
        <v>273</v>
      </c>
      <c r="B582" s="9" t="s">
        <v>963</v>
      </c>
    </row>
    <row r="583" spans="1:2">
      <c r="A583" s="9" t="s">
        <v>1343</v>
      </c>
      <c r="B583" s="9" t="s">
        <v>963</v>
      </c>
    </row>
    <row r="584" spans="1:2">
      <c r="A584" s="9" t="s">
        <v>1565</v>
      </c>
      <c r="B584" s="9" t="s">
        <v>963</v>
      </c>
    </row>
    <row r="585" spans="1:2">
      <c r="A585" s="9" t="s">
        <v>1900</v>
      </c>
      <c r="B585" s="9" t="s">
        <v>2246</v>
      </c>
    </row>
    <row r="586" spans="1:2">
      <c r="A586" s="9" t="s">
        <v>1664</v>
      </c>
      <c r="B586" s="9" t="s">
        <v>2246</v>
      </c>
    </row>
    <row r="587" spans="1:2">
      <c r="A587" s="9" t="s">
        <v>1918</v>
      </c>
      <c r="B587" s="9" t="s">
        <v>2246</v>
      </c>
    </row>
    <row r="588" spans="1:2">
      <c r="A588" s="9" t="s">
        <v>2230</v>
      </c>
      <c r="B588" s="9" t="s">
        <v>963</v>
      </c>
    </row>
    <row r="589" spans="1:2">
      <c r="A589" s="9" t="s">
        <v>807</v>
      </c>
      <c r="B589" s="9" t="s">
        <v>963</v>
      </c>
    </row>
    <row r="590" spans="1:2">
      <c r="A590" s="9" t="s">
        <v>805</v>
      </c>
      <c r="B590" s="9" t="s">
        <v>963</v>
      </c>
    </row>
    <row r="591" spans="1:2">
      <c r="A591" s="9" t="s">
        <v>2074</v>
      </c>
      <c r="B591" s="9" t="s">
        <v>963</v>
      </c>
    </row>
    <row r="592" spans="1:2">
      <c r="A592" s="9" t="s">
        <v>1853</v>
      </c>
      <c r="B592" s="10" t="s">
        <v>963</v>
      </c>
    </row>
    <row r="593" spans="1:8">
      <c r="A593" s="9" t="s">
        <v>1852</v>
      </c>
      <c r="B593" s="9" t="s">
        <v>2246</v>
      </c>
    </row>
    <row r="594" spans="1:8">
      <c r="A594" s="9" t="s">
        <v>1470</v>
      </c>
      <c r="B594" s="9" t="s">
        <v>2246</v>
      </c>
    </row>
    <row r="595" spans="1:8">
      <c r="A595" s="9" t="s">
        <v>820</v>
      </c>
      <c r="B595" s="9" t="s">
        <v>963</v>
      </c>
    </row>
    <row r="596" spans="1:8">
      <c r="A596" s="9" t="s">
        <v>931</v>
      </c>
      <c r="B596" s="9" t="s">
        <v>2246</v>
      </c>
    </row>
    <row r="597" spans="1:8">
      <c r="A597" s="9" t="s">
        <v>930</v>
      </c>
      <c r="B597" s="9" t="s">
        <v>963</v>
      </c>
    </row>
    <row r="598" spans="1:8">
      <c r="A598" s="9" t="s">
        <v>2245</v>
      </c>
      <c r="B598" s="9" t="s">
        <v>963</v>
      </c>
    </row>
    <row r="599" spans="1:8">
      <c r="A599" s="9" t="s">
        <v>2250</v>
      </c>
      <c r="B599" s="9" t="s">
        <v>2246</v>
      </c>
    </row>
    <row r="600" spans="1:8">
      <c r="A600" s="9" t="s">
        <v>2095</v>
      </c>
      <c r="B600" s="9" t="s">
        <v>963</v>
      </c>
    </row>
    <row r="601" spans="1:8">
      <c r="A601" s="9" t="s">
        <v>2096</v>
      </c>
      <c r="B601" s="9" t="s">
        <v>963</v>
      </c>
    </row>
    <row r="602" spans="1:8">
      <c r="A602" s="9" t="s">
        <v>2097</v>
      </c>
      <c r="B602" s="9" t="s">
        <v>963</v>
      </c>
    </row>
    <row r="603" spans="1:8">
      <c r="A603" s="9" t="s">
        <v>2098</v>
      </c>
      <c r="B603" s="9" t="s">
        <v>963</v>
      </c>
    </row>
    <row r="604" spans="1:8">
      <c r="A604" s="9" t="s">
        <v>2099</v>
      </c>
      <c r="B604" s="9" t="s">
        <v>963</v>
      </c>
      <c r="G604" s="10"/>
    </row>
    <row r="605" spans="1:8">
      <c r="A605" s="9" t="s">
        <v>2101</v>
      </c>
      <c r="B605" s="9" t="s">
        <v>2100</v>
      </c>
      <c r="G605" s="10"/>
    </row>
    <row r="606" spans="1:8">
      <c r="A606" s="9" t="s">
        <v>2102</v>
      </c>
      <c r="B606" s="9" t="s">
        <v>2246</v>
      </c>
      <c r="H606" s="2"/>
    </row>
    <row r="607" spans="1:8">
      <c r="A607" s="9" t="s">
        <v>2103</v>
      </c>
      <c r="B607" s="9" t="s">
        <v>2246</v>
      </c>
      <c r="H607" s="2"/>
    </row>
    <row r="608" spans="1:8">
      <c r="A608" s="9" t="s">
        <v>2105</v>
      </c>
      <c r="B608" s="9" t="s">
        <v>2104</v>
      </c>
      <c r="H608" s="2"/>
    </row>
    <row r="609" spans="1:8">
      <c r="A609" s="9" t="s">
        <v>2106</v>
      </c>
      <c r="B609" s="9" t="s">
        <v>963</v>
      </c>
      <c r="H609" s="2"/>
    </row>
    <row r="610" spans="1:8">
      <c r="A610" s="9" t="s">
        <v>2107</v>
      </c>
      <c r="B610" s="9" t="s">
        <v>2246</v>
      </c>
      <c r="H610" s="2"/>
    </row>
    <row r="611" spans="1:8">
      <c r="A611" s="9" t="s">
        <v>2108</v>
      </c>
      <c r="B611" s="9" t="s">
        <v>963</v>
      </c>
    </row>
    <row r="612" spans="1:8">
      <c r="A612" s="9" t="s">
        <v>2109</v>
      </c>
      <c r="B612" s="9" t="s">
        <v>2246</v>
      </c>
      <c r="H612" s="2"/>
    </row>
    <row r="613" spans="1:8">
      <c r="A613" s="9" t="s">
        <v>2110</v>
      </c>
      <c r="B613" s="9" t="s">
        <v>963</v>
      </c>
      <c r="H613" s="2"/>
    </row>
    <row r="614" spans="1:8">
      <c r="A614" s="9" t="s">
        <v>2111</v>
      </c>
      <c r="B614" s="9" t="s">
        <v>963</v>
      </c>
    </row>
    <row r="615" spans="1:8">
      <c r="A615" s="9" t="s">
        <v>2113</v>
      </c>
      <c r="B615" s="9" t="s">
        <v>2112</v>
      </c>
      <c r="H615" s="2"/>
    </row>
    <row r="616" spans="1:8">
      <c r="A616" s="9" t="s">
        <v>2114</v>
      </c>
      <c r="B616" s="9" t="s">
        <v>2246</v>
      </c>
      <c r="G616" s="8"/>
      <c r="H616" s="2"/>
    </row>
    <row r="617" spans="1:8">
      <c r="A617" s="9" t="s">
        <v>2115</v>
      </c>
      <c r="B617" s="9" t="s">
        <v>2112</v>
      </c>
      <c r="H617" s="2"/>
    </row>
    <row r="618" spans="1:8">
      <c r="A618" s="9" t="s">
        <v>2116</v>
      </c>
      <c r="B618" s="9" t="s">
        <v>2246</v>
      </c>
      <c r="H618" s="2"/>
    </row>
    <row r="619" spans="1:8">
      <c r="A619" s="9" t="s">
        <v>2117</v>
      </c>
      <c r="B619" s="9" t="s">
        <v>2246</v>
      </c>
      <c r="H619" s="2"/>
    </row>
    <row r="620" spans="1:8">
      <c r="A620" s="9" t="s">
        <v>2118</v>
      </c>
      <c r="B620" s="9" t="s">
        <v>2112</v>
      </c>
    </row>
    <row r="621" spans="1:8">
      <c r="A621" s="9" t="s">
        <v>2119</v>
      </c>
      <c r="B621" s="9" t="s">
        <v>2246</v>
      </c>
      <c r="H621" s="2"/>
    </row>
    <row r="622" spans="1:8">
      <c r="A622" s="9" t="s">
        <v>2120</v>
      </c>
      <c r="B622" s="9" t="s">
        <v>2112</v>
      </c>
      <c r="H622" s="2"/>
    </row>
    <row r="623" spans="1:8">
      <c r="A623" s="9" t="s">
        <v>2121</v>
      </c>
      <c r="B623" s="9" t="s">
        <v>2246</v>
      </c>
      <c r="H623" s="2"/>
    </row>
    <row r="624" spans="1:8">
      <c r="A624" s="9" t="s">
        <v>2122</v>
      </c>
      <c r="B624" s="9" t="s">
        <v>2246</v>
      </c>
      <c r="H624" s="2"/>
    </row>
    <row r="625" spans="1:8">
      <c r="A625" s="9" t="s">
        <v>2123</v>
      </c>
      <c r="B625" s="9" t="s">
        <v>2246</v>
      </c>
      <c r="H625" s="2"/>
    </row>
    <row r="626" spans="1:8">
      <c r="A626" s="9" t="s">
        <v>2124</v>
      </c>
      <c r="B626" s="9" t="s">
        <v>2246</v>
      </c>
      <c r="H626" s="2"/>
    </row>
    <row r="627" spans="1:8">
      <c r="A627" s="9" t="s">
        <v>2126</v>
      </c>
      <c r="B627" s="9" t="s">
        <v>2125</v>
      </c>
      <c r="H627" s="2"/>
    </row>
    <row r="628" spans="1:8">
      <c r="A628" s="9" t="s">
        <v>2127</v>
      </c>
      <c r="B628" s="9" t="s">
        <v>2246</v>
      </c>
      <c r="H628" s="2"/>
    </row>
    <row r="629" spans="1:8">
      <c r="A629" s="9" t="s">
        <v>2128</v>
      </c>
      <c r="B629" s="9" t="s">
        <v>2125</v>
      </c>
      <c r="H629" s="2"/>
    </row>
    <row r="630" spans="1:8">
      <c r="A630" s="9" t="s">
        <v>2129</v>
      </c>
      <c r="B630" s="9" t="s">
        <v>2246</v>
      </c>
      <c r="H630" s="2"/>
    </row>
    <row r="631" spans="1:8">
      <c r="A631" s="9" t="s">
        <v>2130</v>
      </c>
      <c r="B631" s="9" t="s">
        <v>2246</v>
      </c>
      <c r="H631" s="2"/>
    </row>
    <row r="632" spans="1:8">
      <c r="A632" s="9" t="s">
        <v>2131</v>
      </c>
      <c r="B632" s="9" t="s">
        <v>2246</v>
      </c>
      <c r="H632" s="2"/>
    </row>
    <row r="633" spans="1:8">
      <c r="A633" s="9" t="s">
        <v>2132</v>
      </c>
      <c r="B633" s="9" t="s">
        <v>2125</v>
      </c>
      <c r="H633" s="2"/>
    </row>
    <row r="634" spans="1:8">
      <c r="A634" s="9" t="s">
        <v>2133</v>
      </c>
      <c r="B634" s="9" t="s">
        <v>2246</v>
      </c>
      <c r="H634" s="2"/>
    </row>
    <row r="635" spans="1:8">
      <c r="A635" s="9" t="s">
        <v>2134</v>
      </c>
      <c r="B635" s="9" t="s">
        <v>2246</v>
      </c>
      <c r="H635" s="2"/>
    </row>
    <row r="636" spans="1:8">
      <c r="A636" s="9" t="s">
        <v>2135</v>
      </c>
      <c r="B636" s="2"/>
    </row>
    <row r="637" spans="1:8">
      <c r="A637" s="9" t="s">
        <v>2136</v>
      </c>
      <c r="B637" s="2"/>
      <c r="H637" s="2"/>
    </row>
    <row r="638" spans="1:8">
      <c r="B638" s="2"/>
      <c r="H638" s="2"/>
    </row>
    <row r="639" spans="1:8">
      <c r="H639" s="2"/>
    </row>
    <row r="640" spans="1:8">
      <c r="H640" s="2"/>
    </row>
    <row r="641" spans="7:8">
      <c r="G641" s="11"/>
      <c r="H641" s="2"/>
    </row>
    <row r="642" spans="7:8">
      <c r="G642" s="11"/>
      <c r="H642" s="2"/>
    </row>
    <row r="643" spans="7:8">
      <c r="G643" s="11"/>
      <c r="H643" s="2"/>
    </row>
    <row r="644" spans="7:8">
      <c r="H644" s="2"/>
    </row>
    <row r="645" spans="7:8">
      <c r="H645" s="2"/>
    </row>
    <row r="646" spans="7:8">
      <c r="H646" s="2"/>
    </row>
    <row r="647" spans="7:8">
      <c r="H647" s="2"/>
    </row>
    <row r="648" spans="7:8">
      <c r="H648" s="2"/>
    </row>
    <row r="649" spans="7:8">
      <c r="H649" s="2"/>
    </row>
    <row r="650" spans="7:8">
      <c r="H650" s="2"/>
    </row>
    <row r="652" spans="7:8">
      <c r="H652" s="2"/>
    </row>
    <row r="653" spans="7:8">
      <c r="H653" s="2"/>
    </row>
    <row r="654" spans="7:8">
      <c r="H654" s="2"/>
    </row>
    <row r="656" spans="7:8">
      <c r="H656" s="2"/>
    </row>
    <row r="657" spans="7:8">
      <c r="G657" s="12"/>
      <c r="H657" s="2"/>
    </row>
    <row r="658" spans="7:8">
      <c r="G658" s="287"/>
      <c r="H658" s="2"/>
    </row>
    <row r="659" spans="7:8">
      <c r="G659" s="287"/>
      <c r="H659" s="2"/>
    </row>
    <row r="660" spans="7:8">
      <c r="G660" s="287"/>
      <c r="H660" s="2"/>
    </row>
    <row r="661" spans="7:8">
      <c r="G661" s="287"/>
      <c r="H661" s="2"/>
    </row>
    <row r="662" spans="7:8">
      <c r="G662" s="287"/>
      <c r="H662" s="2"/>
    </row>
    <row r="663" spans="7:8">
      <c r="H663" s="2"/>
    </row>
    <row r="664" spans="7:8">
      <c r="H664" s="2"/>
    </row>
    <row r="665" spans="7:8">
      <c r="H665" s="2"/>
    </row>
    <row r="666" spans="7:8">
      <c r="G666" s="12"/>
      <c r="H666" s="2"/>
    </row>
    <row r="667" spans="7:8">
      <c r="G667" s="12"/>
      <c r="H667" s="2"/>
    </row>
    <row r="668" spans="7:8">
      <c r="H668" s="2"/>
    </row>
    <row r="671" spans="7:8">
      <c r="G671" s="12"/>
    </row>
    <row r="680" spans="1:8">
      <c r="G680" s="9"/>
    </row>
    <row r="681" spans="1:8">
      <c r="G681" s="9"/>
    </row>
    <row r="682" spans="1:8">
      <c r="G682" s="9"/>
    </row>
    <row r="683" spans="1:8">
      <c r="B683" s="8"/>
      <c r="G683" s="9"/>
    </row>
    <row r="684" spans="1:8">
      <c r="A684" s="2"/>
      <c r="H684" s="2"/>
    </row>
    <row r="685" spans="1:8">
      <c r="A685" s="2"/>
      <c r="B685" s="13"/>
      <c r="H685" s="2"/>
    </row>
    <row r="686" spans="1:8">
      <c r="H686" s="2"/>
    </row>
    <row r="687" spans="1:8">
      <c r="B687" s="8"/>
      <c r="H687" s="2"/>
    </row>
    <row r="688" spans="1:8">
      <c r="H688" s="2"/>
    </row>
    <row r="689" spans="2:8">
      <c r="B689" s="8"/>
    </row>
    <row r="690" spans="2:8">
      <c r="H690" s="2"/>
    </row>
    <row r="691" spans="2:8">
      <c r="H691" s="2"/>
    </row>
    <row r="692" spans="2:8">
      <c r="H692" s="2"/>
    </row>
    <row r="693" spans="2:8">
      <c r="H693" s="2"/>
    </row>
    <row r="694" spans="2:8">
      <c r="H694" s="2"/>
    </row>
    <row r="695" spans="2:8">
      <c r="H695" s="2"/>
    </row>
    <row r="696" spans="2:8">
      <c r="H696" s="2"/>
    </row>
    <row r="697" spans="2:8">
      <c r="H697" s="2"/>
    </row>
    <row r="699" spans="2:8">
      <c r="H699" s="2"/>
    </row>
    <row r="700" spans="2:8">
      <c r="H700" s="2"/>
    </row>
    <row r="701" spans="2:8">
      <c r="H701" s="2"/>
    </row>
    <row r="702" spans="2:8">
      <c r="G702" s="9"/>
      <c r="H702" s="2"/>
    </row>
    <row r="703" spans="2:8">
      <c r="H703" s="2"/>
    </row>
    <row r="704" spans="2:8">
      <c r="H704" s="2"/>
    </row>
    <row r="706" spans="6:8">
      <c r="H706" s="2"/>
    </row>
    <row r="707" spans="6:8">
      <c r="H707" s="2"/>
    </row>
    <row r="708" spans="6:8">
      <c r="H708" s="2"/>
    </row>
    <row r="710" spans="6:8">
      <c r="H710" s="2"/>
    </row>
    <row r="711" spans="6:8">
      <c r="F711" s="9"/>
      <c r="G711" s="9"/>
      <c r="H711" s="2"/>
    </row>
    <row r="712" spans="6:8">
      <c r="F712" s="9"/>
      <c r="H712" s="2"/>
    </row>
    <row r="713" spans="6:8">
      <c r="F713" s="9"/>
      <c r="G713" s="9"/>
      <c r="H713" s="2"/>
    </row>
    <row r="714" spans="6:8">
      <c r="H714" s="2"/>
    </row>
    <row r="715" spans="6:8">
      <c r="H715" s="2"/>
    </row>
    <row r="716" spans="6:8">
      <c r="H716" s="2"/>
    </row>
    <row r="718" spans="6:8">
      <c r="H718" s="2"/>
    </row>
    <row r="719" spans="6:8">
      <c r="H719" s="2"/>
    </row>
    <row r="720" spans="6:8">
      <c r="H720" s="2"/>
    </row>
    <row r="721" spans="5:8">
      <c r="H721" s="2"/>
    </row>
    <row r="722" spans="5:8">
      <c r="H722" s="2"/>
    </row>
    <row r="723" spans="5:8">
      <c r="H723" s="2"/>
    </row>
    <row r="724" spans="5:8">
      <c r="H724" s="2"/>
    </row>
    <row r="725" spans="5:8">
      <c r="H725" s="2"/>
    </row>
    <row r="727" spans="5:8">
      <c r="H727" s="2"/>
    </row>
    <row r="728" spans="5:8">
      <c r="H728" s="2"/>
    </row>
    <row r="729" spans="5:8">
      <c r="H729" s="2"/>
    </row>
    <row r="730" spans="5:8">
      <c r="H730" s="2"/>
    </row>
    <row r="732" spans="5:8">
      <c r="F732" s="8"/>
      <c r="H732" s="2"/>
    </row>
    <row r="733" spans="5:8">
      <c r="E733" s="285"/>
      <c r="F733" s="8"/>
      <c r="H733" s="2"/>
    </row>
    <row r="734" spans="5:8">
      <c r="F734" s="8"/>
      <c r="H734" s="2"/>
    </row>
    <row r="735" spans="5:8">
      <c r="F735" s="8"/>
      <c r="H735" s="2"/>
    </row>
    <row r="736" spans="5:8">
      <c r="E736" s="285"/>
      <c r="F736" s="8"/>
      <c r="H736" s="2"/>
    </row>
    <row r="737" spans="1:8">
      <c r="F737" s="8"/>
      <c r="H737" s="2"/>
    </row>
    <row r="738" spans="1:8">
      <c r="F738" s="8"/>
      <c r="H738" s="2"/>
    </row>
    <row r="739" spans="1:8">
      <c r="F739" s="8"/>
      <c r="H739" s="2"/>
    </row>
    <row r="740" spans="1:8">
      <c r="F740" s="8"/>
      <c r="H740" s="2"/>
    </row>
    <row r="741" spans="1:8">
      <c r="F741" s="8"/>
      <c r="H741" s="2"/>
    </row>
    <row r="742" spans="1:8">
      <c r="F742" s="8"/>
      <c r="H742" s="2"/>
    </row>
    <row r="743" spans="1:8">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F754" s="8"/>
      <c r="H754" s="2"/>
    </row>
    <row r="755" spans="1:8">
      <c r="A755" s="2"/>
      <c r="B755" s="2"/>
      <c r="F755" s="8"/>
      <c r="H755" s="2"/>
    </row>
    <row r="756" spans="1:8">
      <c r="A756" s="2"/>
      <c r="B756" s="2"/>
      <c r="E756" s="8"/>
      <c r="F756" s="8"/>
      <c r="H756" s="2"/>
    </row>
    <row r="757" spans="1:8">
      <c r="A757" s="2"/>
      <c r="B757" s="2"/>
      <c r="E757" s="8"/>
      <c r="F757" s="8"/>
      <c r="H757" s="2"/>
    </row>
    <row r="758" spans="1:8">
      <c r="A758" s="2"/>
      <c r="B758" s="2"/>
      <c r="E758" s="8"/>
      <c r="F758" s="8"/>
      <c r="H758" s="2"/>
    </row>
    <row r="759" spans="1:8">
      <c r="A759" s="2"/>
      <c r="B759" s="2"/>
      <c r="C759" s="8"/>
      <c r="E759" s="8"/>
      <c r="F759" s="8"/>
      <c r="H759" s="2"/>
    </row>
    <row r="760" spans="1:8">
      <c r="A760" s="2"/>
      <c r="B760" s="2"/>
      <c r="C760" s="8"/>
      <c r="E760" s="8"/>
      <c r="F760" s="8"/>
      <c r="H760" s="2"/>
    </row>
    <row r="761" spans="1:8">
      <c r="A761" s="2"/>
      <c r="B761" s="2"/>
      <c r="C761" s="8"/>
      <c r="E761" s="8"/>
      <c r="F761" s="8"/>
      <c r="H761" s="2"/>
    </row>
    <row r="762" spans="1:8">
      <c r="A762" s="2"/>
      <c r="B762" s="2"/>
      <c r="C762" s="8"/>
      <c r="D762" s="8"/>
      <c r="E762" s="8"/>
      <c r="F762" s="8"/>
      <c r="H762" s="2"/>
    </row>
    <row r="763" spans="1:8">
      <c r="A763" s="2"/>
      <c r="B763" s="2"/>
      <c r="C763" s="8"/>
      <c r="E763" s="8"/>
      <c r="F763" s="14"/>
      <c r="H763" s="2"/>
    </row>
    <row r="764" spans="1:8">
      <c r="A764" s="2"/>
      <c r="B764" s="2"/>
      <c r="C764" s="8"/>
      <c r="E764" s="8"/>
      <c r="F764" s="14"/>
      <c r="H764" s="2"/>
    </row>
    <row r="765" spans="1:8">
      <c r="A765" s="2"/>
      <c r="B765" s="2"/>
      <c r="C765" s="8"/>
      <c r="F765" s="14"/>
      <c r="H765" s="2"/>
    </row>
    <row r="766" spans="1:8">
      <c r="B766" s="2"/>
      <c r="C766" s="8"/>
      <c r="F766" s="8"/>
      <c r="H766" s="2"/>
    </row>
    <row r="767" spans="1:8">
      <c r="C767" s="8"/>
      <c r="F767" s="8"/>
      <c r="H767" s="2"/>
    </row>
    <row r="768" spans="1:8">
      <c r="F768" s="8"/>
      <c r="H768" s="2"/>
    </row>
    <row r="769" spans="4:8">
      <c r="F769" s="8"/>
      <c r="H769" s="2"/>
    </row>
    <row r="770" spans="4:8">
      <c r="F770" s="8"/>
      <c r="H770" s="2"/>
    </row>
    <row r="771" spans="4:8">
      <c r="F771" s="8"/>
      <c r="H771" s="2"/>
    </row>
    <row r="772" spans="4:8">
      <c r="F772" s="8"/>
      <c r="H772" s="2"/>
    </row>
    <row r="773" spans="4:8">
      <c r="F773" s="8"/>
      <c r="H773" s="2"/>
    </row>
    <row r="774" spans="4:8">
      <c r="D774" s="8"/>
      <c r="F774" s="8"/>
      <c r="H774" s="2"/>
    </row>
    <row r="775" spans="4:8">
      <c r="D775" s="8"/>
      <c r="F775" s="8"/>
      <c r="H775" s="2"/>
    </row>
    <row r="776" spans="4:8">
      <c r="D776" s="8"/>
      <c r="F776" s="8"/>
      <c r="H776" s="2"/>
    </row>
    <row r="777" spans="4:8">
      <c r="D777" s="8"/>
      <c r="F777" s="8"/>
      <c r="H777"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40" t="s">
        <v>3084</v>
      </c>
      <c r="B1" s="1426"/>
      <c r="C1" s="1427"/>
      <c r="D1" s="1138" t="s">
        <v>271</v>
      </c>
      <c r="E1" s="1432" t="s">
        <v>2138</v>
      </c>
      <c r="F1" s="1433"/>
      <c r="G1" s="1433"/>
      <c r="H1" s="1433"/>
      <c r="I1" s="1433"/>
      <c r="J1" s="1433"/>
      <c r="K1" s="1434"/>
      <c r="L1" s="1442">
        <f>E143/20/100</f>
        <v>0.38767520323377935</v>
      </c>
      <c r="M1" s="1442"/>
      <c r="N1" s="105" t="s">
        <v>1215</v>
      </c>
      <c r="O1" s="18"/>
      <c r="P1" s="490"/>
      <c r="Q1" s="490"/>
      <c r="R1" s="490"/>
      <c r="S1" s="491"/>
      <c r="T1" s="1118"/>
      <c r="U1" s="1119" t="s">
        <v>3045</v>
      </c>
      <c r="V1" s="1120"/>
      <c r="W1" s="1120"/>
      <c r="X1" s="1121"/>
      <c r="Y1" s="1122"/>
      <c r="Z1" s="27"/>
      <c r="AD1" s="1339"/>
      <c r="AE1" s="1339"/>
      <c r="AF1" s="1339"/>
    </row>
    <row r="2" spans="1:32" ht="13.5" thickBot="1">
      <c r="A2" s="1441"/>
      <c r="B2" s="1109" t="s">
        <v>1138</v>
      </c>
      <c r="C2" s="1110">
        <f>SUM('Damage Calc'!J2:J7)</f>
        <v>999.76072302481953</v>
      </c>
      <c r="D2" s="1111">
        <f>C2/$C$6</f>
        <v>0.6454990163924762</v>
      </c>
      <c r="E2" s="1428" t="str">
        <f>cycle</f>
        <v>Cycle: 1s/5r   SnD Slack: 1.31</v>
      </c>
      <c r="F2" s="1429"/>
      <c r="G2" s="1429"/>
      <c r="H2" s="1429"/>
      <c r="I2" s="1429"/>
      <c r="J2" s="1429"/>
      <c r="K2" s="1430"/>
      <c r="L2" s="1442">
        <f>(K143/dorate)/100</f>
        <v>0</v>
      </c>
      <c r="M2" s="1442"/>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35" t="s">
        <v>2137</v>
      </c>
      <c r="F3" s="1436"/>
      <c r="G3" s="1437" t="s">
        <v>771</v>
      </c>
      <c r="H3" s="1437"/>
      <c r="I3" s="1436" t="s">
        <v>768</v>
      </c>
      <c r="J3" s="1436"/>
      <c r="K3" s="1134" t="s">
        <v>770</v>
      </c>
      <c r="L3" s="1442">
        <f>(ROUNDDOWN(M143/defrating_def,0)*0.04)/100</f>
        <v>0</v>
      </c>
      <c r="M3" s="1442"/>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119.41394881236066</v>
      </c>
      <c r="D4" s="1117">
        <f>C4/$C$6</f>
        <v>7.7100034765025194E-2</v>
      </c>
      <c r="E4" s="1438">
        <f>3524+INT(F143)*10</f>
        <v>9674</v>
      </c>
      <c r="F4" s="1439"/>
      <c r="G4" s="1402">
        <f>(1+'Gear &amp; Buffs'!$P$143/(hasterate*100))</f>
        <v>1.098864696979942</v>
      </c>
      <c r="H4" s="1402"/>
      <c r="I4" s="1431">
        <f>ap</f>
        <v>3151.8007204290034</v>
      </c>
      <c r="J4" s="1431"/>
      <c r="K4" s="1135">
        <f>'Damage Calc'!$Q$42</f>
        <v>4010</v>
      </c>
      <c r="L4" s="1401">
        <f>-0.59/100</f>
        <v>-5.8999999999999999E-3</v>
      </c>
      <c r="M4" s="1401"/>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107.10215665609692</v>
      </c>
      <c r="D5" s="1114">
        <f>C5/$C$6</f>
        <v>6.9150882989136159E-2</v>
      </c>
      <c r="E5" s="1423" t="s">
        <v>2140</v>
      </c>
      <c r="F5" s="1424"/>
      <c r="G5" s="1425" t="s">
        <v>2139</v>
      </c>
      <c r="H5" s="1425"/>
      <c r="I5" s="1424" t="s">
        <v>2141</v>
      </c>
      <c r="J5" s="1424"/>
      <c r="K5" s="1136" t="s">
        <v>2144</v>
      </c>
      <c r="L5" s="1401">
        <f>((CharLevel-BossLevel)*(0.2))/100</f>
        <v>-6.000000000000001E-3</v>
      </c>
      <c r="M5" s="1401"/>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1548.8183523690223</v>
      </c>
      <c r="D6" s="1133">
        <f>D2+D3+D4+D5</f>
        <v>0.99999999999999989</v>
      </c>
      <c r="E6" s="1422">
        <f>((E143/agicrit+G143/crrate)/100)+bwrath+(CharLevel-BossLevel)*bosscrit*5-IF(BossLevel*5-CharLevel*5&gt;10, 1.8%, 0)</f>
        <v>0.21803272356810921</v>
      </c>
      <c r="F6" s="1419"/>
      <c r="G6" s="1419">
        <f>'Damage Calc'!Q2+-'Gear &amp; Buffs'!I6</f>
        <v>0.26956097560975611</v>
      </c>
      <c r="H6" s="1419"/>
      <c r="I6" s="1419">
        <f>'Damage Calc'!B19</f>
        <v>4.3902439024390283E-4</v>
      </c>
      <c r="J6" s="1419"/>
      <c r="K6" s="1137">
        <f>'Damage Calc'!B20</f>
        <v>2.0000000000000004E-2</v>
      </c>
      <c r="L6" s="1400">
        <f>MAX((-0.59+E143/20+(K143/dorate)+(ROUNDDOWN(M143/defrating_def,0)*0.04))/100+0.2%*(CharLevel-BossLevel),0%)</f>
        <v>0.37577520323377933</v>
      </c>
      <c r="M6" s="1401"/>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1177</v>
      </c>
      <c r="L7" s="1410">
        <f>Talents!H8</f>
        <v>0.4637752032337793</v>
      </c>
      <c r="M7" s="1411"/>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12" t="s">
        <v>2210</v>
      </c>
      <c r="V22" s="1413"/>
      <c r="W22" s="1413"/>
      <c r="X22" s="1414"/>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05" t="s">
        <v>460</v>
      </c>
      <c r="V23" s="1409"/>
      <c r="W23" s="1409"/>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07" t="s">
        <v>2408</v>
      </c>
      <c r="V24" s="1404"/>
      <c r="W24" s="1404"/>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07" t="s">
        <v>2409</v>
      </c>
      <c r="V25" s="1404"/>
      <c r="W25" s="1404"/>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05" t="s">
        <v>463</v>
      </c>
      <c r="V26" s="1409"/>
      <c r="W26" s="1409"/>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05" t="s">
        <v>433</v>
      </c>
      <c r="V27" s="1409"/>
      <c r="W27" s="1409"/>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07" t="s">
        <v>434</v>
      </c>
      <c r="V28" s="1404"/>
      <c r="W28" s="1404"/>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03" t="s">
        <v>2214</v>
      </c>
      <c r="V29" s="1404"/>
      <c r="W29" s="1404"/>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05" t="s">
        <v>435</v>
      </c>
      <c r="V30" s="1409"/>
      <c r="W30" s="1409"/>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05" t="s">
        <v>436</v>
      </c>
      <c r="V31" s="1409"/>
      <c r="W31" s="1409"/>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07" t="s">
        <v>658</v>
      </c>
      <c r="V32" s="1404"/>
      <c r="W32" s="1404"/>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05" t="s">
        <v>659</v>
      </c>
      <c r="V33" s="1409"/>
      <c r="W33" s="1409"/>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07" t="s">
        <v>1115</v>
      </c>
      <c r="V34" s="1408"/>
      <c r="W34" s="1408"/>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07" t="s">
        <v>1116</v>
      </c>
      <c r="V35" s="1408"/>
      <c r="W35" s="1408"/>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05" t="s">
        <v>1119</v>
      </c>
      <c r="V36" s="1406"/>
      <c r="W36" s="1406"/>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05" t="s">
        <v>1122</v>
      </c>
      <c r="V37" s="1406"/>
      <c r="W37" s="1406"/>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07" t="s">
        <v>1123</v>
      </c>
      <c r="V38" s="1404"/>
      <c r="W38" s="1404"/>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17" t="s">
        <v>962</v>
      </c>
      <c r="V39" s="1418"/>
      <c r="W39" s="1418"/>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1</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1</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1</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1</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383.01956481837374</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20" t="s">
        <v>1942</v>
      </c>
      <c r="C78" s="1421"/>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15" t="s">
        <v>3046</v>
      </c>
      <c r="C143" s="1416"/>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disablePrompts="1"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1025</v>
      </c>
      <c r="B1" s="1532" t="str">
        <f>cycle</f>
        <v>Cycle: 1s/5r   SnD Slack: 1.31</v>
      </c>
      <c r="C1" s="1532"/>
      <c r="D1" s="1533"/>
      <c r="E1" s="1528" t="s">
        <v>591</v>
      </c>
      <c r="F1" s="1529"/>
      <c r="G1" s="1530" t="s">
        <v>592</v>
      </c>
      <c r="H1" s="1531"/>
      <c r="I1" s="1540" t="s">
        <v>593</v>
      </c>
      <c r="J1" s="1541"/>
      <c r="K1" s="1542"/>
      <c r="L1" s="1529"/>
      <c r="M1" s="1491" t="s">
        <v>2325</v>
      </c>
      <c r="N1" s="1492"/>
      <c r="O1" s="1492"/>
      <c r="P1" s="1492"/>
      <c r="Q1" s="1493"/>
    </row>
    <row r="2" spans="1:26" ht="12.75" customHeight="1" thickBot="1">
      <c r="A2" s="1520"/>
      <c r="B2" s="1534"/>
      <c r="C2" s="1534"/>
      <c r="D2" s="1535"/>
      <c r="E2" s="1075" t="s">
        <v>594</v>
      </c>
      <c r="F2" s="1015">
        <f>ap</f>
        <v>3151.8007204290034</v>
      </c>
      <c r="G2" s="906" t="s">
        <v>599</v>
      </c>
      <c r="H2" s="1015">
        <f>hp</f>
        <v>9674</v>
      </c>
      <c r="I2" s="1543"/>
      <c r="J2" s="1544"/>
      <c r="K2" s="1545"/>
      <c r="L2" s="907"/>
      <c r="M2" s="1500" t="s">
        <v>2320</v>
      </c>
      <c r="N2" s="1501"/>
      <c r="O2" s="1023" t="str">
        <f>ROUND(SUM('Damage Calc'!$J$2:$J$7),2)&amp;"  "</f>
        <v xml:space="preserve">999.76  </v>
      </c>
      <c r="P2" s="1494" t="str">
        <f>ROUND(SUM('Damage Calc'!$J$2:$J$7)/'Damage Calc'!$J$16*100,0)&amp;"%  "</f>
        <v xml:space="preserve">65%  </v>
      </c>
      <c r="Q2" s="1495"/>
    </row>
    <row r="3" spans="1:26" ht="12.75" customHeight="1">
      <c r="A3" s="1524" t="s">
        <v>1538</v>
      </c>
      <c r="B3" s="1536">
        <f>'Damage Calc'!$J$16</f>
        <v>1548.8183523690223</v>
      </c>
      <c r="C3" s="1536"/>
      <c r="D3" s="1537"/>
      <c r="E3" s="1011" t="s">
        <v>595</v>
      </c>
      <c r="F3" s="1012">
        <f>'Damage Calc'!Q2-Talents!F4</f>
        <v>0.26956097560975611</v>
      </c>
      <c r="G3" s="1011" t="s">
        <v>600</v>
      </c>
      <c r="H3" s="1012">
        <f>dodge</f>
        <v>0.37577520323377933</v>
      </c>
      <c r="I3" s="1546" t="s">
        <v>2316</v>
      </c>
      <c r="J3" s="1457"/>
      <c r="K3" s="1458"/>
      <c r="L3" s="1016">
        <f>CEILING(($F$4*100)*(10*conv),1)</f>
        <v>1</v>
      </c>
      <c r="M3" s="1513" t="str">
        <f>"  "&amp;instatklng&amp;" DPS"</f>
        <v xml:space="preserve">  Sinister Strike DPS</v>
      </c>
      <c r="N3" s="1514"/>
      <c r="O3" s="1080" t="str">
        <f>ROUND('Damage Calc'!$J$8,2)&amp;"  "</f>
        <v xml:space="preserve">322.54  </v>
      </c>
      <c r="P3" s="1496" t="str">
        <f>ROUND('Damage Calc'!$J$8/'Damage Calc'!$J$16*100,0)&amp;"%  "</f>
        <v xml:space="preserve">21%  </v>
      </c>
      <c r="Q3" s="1497"/>
    </row>
    <row r="4" spans="1:26" ht="12.75" customHeight="1" thickBot="1">
      <c r="A4" s="1525"/>
      <c r="B4" s="1538"/>
      <c r="C4" s="1538"/>
      <c r="D4" s="1539"/>
      <c r="E4" s="1077" t="s">
        <v>596</v>
      </c>
      <c r="F4" s="1017">
        <f>bMHmiss</f>
        <v>4.3902439024390283E-4</v>
      </c>
      <c r="G4" s="1018" t="s">
        <v>601</v>
      </c>
      <c r="H4" s="1019">
        <f>'Gear &amp; Buffs'!$J$143</f>
        <v>0</v>
      </c>
      <c r="I4" s="1547" t="s">
        <v>2317</v>
      </c>
      <c r="J4" s="1522"/>
      <c r="K4" s="1523"/>
      <c r="L4" s="1076">
        <f>'Damage Calc'!D34</f>
        <v>30</v>
      </c>
      <c r="M4" s="1515" t="s">
        <v>2321</v>
      </c>
      <c r="N4" s="1516"/>
      <c r="O4" s="1024" t="str">
        <f>ROUND('Damage Calc'!$J$10+'Damage Calc'!$J$11+'Damage Calc'!$J$12,2)&amp;"  "</f>
        <v xml:space="preserve">119.41  </v>
      </c>
      <c r="P4" s="1498" t="str">
        <f>ROUND(('Damage Calc'!$J$10+'Damage Calc'!$J$11+'Damage Calc'!$J$12)/'Damage Calc'!$J$16*100,0)&amp;"%  "</f>
        <v xml:space="preserve">8%  </v>
      </c>
      <c r="Q4" s="1499"/>
    </row>
    <row r="5" spans="1:26" ht="12.75" customHeight="1" thickBot="1">
      <c r="A5" s="1008" t="s">
        <v>1137</v>
      </c>
      <c r="B5" s="1526">
        <f>'Gear &amp; Buffs'!$C$7</f>
        <v>1548.8183523690223</v>
      </c>
      <c r="C5" s="1526"/>
      <c r="D5" s="1527"/>
      <c r="E5" s="1011" t="s">
        <v>597</v>
      </c>
      <c r="F5" s="1012">
        <f>bMHcrit</f>
        <v>0.21803272356810921</v>
      </c>
      <c r="G5" s="1081" t="s">
        <v>1321</v>
      </c>
      <c r="H5" s="1012">
        <f>('Gear &amp; Buffs'!J143/(25*conv)+Talents!I17)/100</f>
        <v>0</v>
      </c>
      <c r="I5" s="1456"/>
      <c r="J5" s="1457"/>
      <c r="K5" s="1458"/>
      <c r="L5" s="1020"/>
      <c r="M5" s="1517" t="s">
        <v>2322</v>
      </c>
      <c r="N5" s="1518"/>
      <c r="O5" s="1082" t="str">
        <f>ROUND('Damage Calc'!$J$13+'Damage Calc'!$J$14+'Damage Calc'!$J$15+'Damage Calc'!$J$9,2)&amp;"  "</f>
        <v xml:space="preserve">107.1  </v>
      </c>
      <c r="P5" s="1450" t="str">
        <f>ROUND(('Damage Calc'!$J$13+'Damage Calc'!$J$14+'Damage Calc'!$J$15+'Damage Calc'!$J$9)/'Damage Calc'!$J$16*100,0)&amp;"%  "</f>
        <v xml:space="preserve">7%  </v>
      </c>
      <c r="Q5" s="1451"/>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521" t="s">
        <v>2318</v>
      </c>
      <c r="J6" s="1522"/>
      <c r="K6" s="1523"/>
      <c r="L6" s="1017">
        <f>sndup</f>
        <v>0.9966666666666667</v>
      </c>
      <c r="M6" s="1454" t="s">
        <v>2323</v>
      </c>
      <c r="N6" s="1455"/>
      <c r="O6" s="1009" t="str">
        <f>ROUND('Damage Calc'!$J$16,2)&amp;"  "</f>
        <v xml:space="preserve">1548.82  </v>
      </c>
      <c r="P6" s="1452" t="str">
        <f>"100%  "</f>
        <v xml:space="preserve">100%  </v>
      </c>
      <c r="Q6" s="1453"/>
    </row>
    <row r="7" spans="1:26" ht="12.75" customHeight="1">
      <c r="A7" s="1503"/>
      <c r="B7" s="1504"/>
      <c r="C7" s="1504"/>
      <c r="D7" s="1505"/>
      <c r="E7" s="1011" t="s">
        <v>634</v>
      </c>
      <c r="F7" s="1012">
        <f>bMHpar</f>
        <v>0</v>
      </c>
      <c r="G7" s="1081" t="s">
        <v>2168</v>
      </c>
      <c r="H7" s="1012">
        <f>MAX(5%+0.2%*(CharLevel-BossLevel)+(ROUNDDOWN('Gear &amp; Buffs'!M143/defrating_def,0)*0.04/100),0%)</f>
        <v>4.4000000000000004E-2</v>
      </c>
      <c r="I7" s="1456" t="s">
        <v>2319</v>
      </c>
      <c r="J7" s="1457"/>
      <c r="K7" s="1458"/>
      <c r="L7" s="1022">
        <f>ruptup</f>
        <v>0.98</v>
      </c>
      <c r="M7" s="1509" t="s">
        <v>2324</v>
      </c>
      <c r="N7" s="1510"/>
      <c r="O7" s="1010" t="str">
        <f>ROUND('Gear &amp; Buffs'!$C$7,2)&amp;"  "</f>
        <v xml:space="preserve">1548.82  </v>
      </c>
      <c r="P7" s="1461"/>
      <c r="Q7" s="1462"/>
    </row>
    <row r="8" spans="1:26" ht="12.75" customHeight="1" thickBot="1">
      <c r="A8" s="1506"/>
      <c r="B8" s="1507"/>
      <c r="C8" s="1507"/>
      <c r="D8" s="1508"/>
      <c r="E8" s="1013" t="s">
        <v>598</v>
      </c>
      <c r="F8" s="1078">
        <f>'Damage Calc'!$Q$42</f>
        <v>4010</v>
      </c>
      <c r="G8" s="1013" t="s">
        <v>2167</v>
      </c>
      <c r="H8" s="1014">
        <f>H3+H6+H7</f>
        <v>0.4637752032337793</v>
      </c>
      <c r="I8" s="1476" t="s">
        <v>1178</v>
      </c>
      <c r="J8" s="1477"/>
      <c r="K8" s="1478"/>
      <c r="L8" s="1079">
        <f>B3*0.71</f>
        <v>1099.6610301820058</v>
      </c>
      <c r="M8" s="1511" t="s">
        <v>2266</v>
      </c>
      <c r="N8" s="1512"/>
      <c r="O8" s="1025" t="str">
        <f>ROUND($O$6-'Gear &amp; Buffs'!$C$7,2)&amp;"  "</f>
        <v xml:space="preserve">0  </v>
      </c>
      <c r="P8" s="1459" t="str">
        <f>IF(($B$6/$B$3)&lt;0,ROUND($B$6/$B$3*100,2)&amp;"%  ","+"&amp;ROUND($B$6/$B$3*100,2)&amp;"%  ")</f>
        <v xml:space="preserve">+0%  </v>
      </c>
      <c r="Q8" s="1460"/>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66" t="s">
        <v>182</v>
      </c>
      <c r="E11" s="1466">
        <v>1</v>
      </c>
      <c r="F11" s="1466"/>
      <c r="G11" s="990"/>
      <c r="H11" s="990"/>
      <c r="I11" s="991"/>
      <c r="J11"/>
      <c r="K11" s="1003"/>
      <c r="L11" s="995"/>
      <c r="M11" s="995"/>
      <c r="N11" s="995"/>
      <c r="O11" s="1004"/>
      <c r="S11"/>
      <c r="T11"/>
      <c r="U11"/>
      <c r="V11"/>
      <c r="W11"/>
      <c r="X11"/>
      <c r="Y11"/>
      <c r="Z11"/>
    </row>
    <row r="12" spans="1:26" ht="21.75" customHeight="1" thickBot="1">
      <c r="A12" s="1502" t="s">
        <v>2146</v>
      </c>
      <c r="B12" s="1464"/>
      <c r="C12" s="1464"/>
      <c r="D12" s="1463" t="s">
        <v>2147</v>
      </c>
      <c r="E12" s="1464"/>
      <c r="F12" s="1464"/>
      <c r="G12" s="1463" t="s">
        <v>248</v>
      </c>
      <c r="H12" s="1464"/>
      <c r="I12" s="1465"/>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473" t="s">
        <v>881</v>
      </c>
      <c r="L13" s="1474"/>
      <c r="M13" s="1474"/>
      <c r="N13" s="1474">
        <v>1</v>
      </c>
      <c r="O13" s="1475"/>
      <c r="Q13" s="1467" t="s">
        <v>882</v>
      </c>
      <c r="R13" s="1468"/>
      <c r="S13" s="1468"/>
      <c r="T13" s="1468"/>
      <c r="U13" s="1468"/>
      <c r="V13" s="1469"/>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470" t="s">
        <v>308</v>
      </c>
      <c r="L22" s="1471"/>
      <c r="M22" s="1471"/>
      <c r="N22" s="1471"/>
      <c r="O22" s="1472"/>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43" t="s">
        <v>1441</v>
      </c>
      <c r="B39" s="1444"/>
      <c r="C39" s="494">
        <f>CharLevel-9-I39</f>
        <v>0</v>
      </c>
      <c r="D39" s="999"/>
      <c r="E39" s="999"/>
      <c r="F39" s="999"/>
      <c r="G39" s="1448" t="s">
        <v>410</v>
      </c>
      <c r="H39" s="1449"/>
      <c r="I39" s="495">
        <f>C38+F38+I38</f>
        <v>61</v>
      </c>
    </row>
    <row r="40" spans="1:18" ht="13.5" thickBot="1">
      <c r="A40" s="167"/>
      <c r="B40" s="167"/>
      <c r="C40" s="167"/>
      <c r="D40" s="167"/>
      <c r="E40" s="167"/>
      <c r="F40" s="167"/>
      <c r="G40" s="167"/>
      <c r="H40" s="167"/>
      <c r="I40" s="167"/>
    </row>
    <row r="41" spans="1:18" ht="13.5" thickBot="1">
      <c r="A41" s="1445" t="s">
        <v>763</v>
      </c>
      <c r="B41" s="1446"/>
      <c r="C41" s="1446"/>
      <c r="D41" s="1446"/>
      <c r="E41" s="1446"/>
      <c r="F41" s="1446"/>
      <c r="G41" s="1447"/>
      <c r="H41" s="64"/>
      <c r="I41" s="64"/>
      <c r="J41" s="64"/>
    </row>
    <row r="42" spans="1:18" ht="13.5" thickBot="1">
      <c r="A42" s="1486" t="s">
        <v>3043</v>
      </c>
      <c r="B42" s="1487"/>
      <c r="C42" s="1487"/>
      <c r="D42" s="1487"/>
      <c r="E42" s="1487"/>
      <c r="F42" s="1487"/>
      <c r="G42" s="1488"/>
      <c r="H42" s="64"/>
      <c r="I42" s="64"/>
      <c r="J42" s="64"/>
    </row>
    <row r="43" spans="1:18">
      <c r="A43" s="1037"/>
      <c r="B43" s="1489"/>
      <c r="C43" s="1489"/>
      <c r="D43" s="501"/>
      <c r="E43" s="501"/>
      <c r="F43" s="501"/>
      <c r="G43" s="502"/>
      <c r="H43" s="64"/>
      <c r="I43" s="64"/>
      <c r="J43" s="64"/>
    </row>
    <row r="44" spans="1:18">
      <c r="A44" s="1038"/>
      <c r="B44" s="1490"/>
      <c r="C44" s="1490"/>
      <c r="D44" s="499"/>
      <c r="E44" s="499"/>
      <c r="F44" s="499"/>
      <c r="G44" s="500"/>
      <c r="H44" s="64"/>
      <c r="I44" s="64"/>
      <c r="J44" s="64"/>
    </row>
    <row r="45" spans="1:18">
      <c r="A45" s="1029"/>
      <c r="B45" s="1481" t="s">
        <v>864</v>
      </c>
      <c r="C45" s="1483"/>
      <c r="D45" s="1481" t="s">
        <v>863</v>
      </c>
      <c r="E45" s="1482"/>
      <c r="F45" s="1481" t="s">
        <v>862</v>
      </c>
      <c r="G45" s="1482"/>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86" t="s">
        <v>772</v>
      </c>
      <c r="B54" s="1487"/>
      <c r="C54" s="1487"/>
      <c r="D54" s="1487"/>
      <c r="E54" s="1487"/>
      <c r="F54" s="1488"/>
      <c r="H54" s="64"/>
      <c r="I54" s="64"/>
      <c r="J54" s="64"/>
      <c r="K54" s="64"/>
      <c r="L54" s="64"/>
      <c r="P54" s="64"/>
      <c r="Q54" s="64"/>
    </row>
    <row r="55" spans="1:25">
      <c r="A55" s="1484" t="s">
        <v>773</v>
      </c>
      <c r="B55" s="1485"/>
      <c r="C55" s="1095">
        <v>0</v>
      </c>
      <c r="D55" s="1083" t="s">
        <v>774</v>
      </c>
      <c r="E55" s="1084"/>
      <c r="F55" s="1098">
        <v>13</v>
      </c>
      <c r="H55" s="64"/>
      <c r="I55" s="64"/>
      <c r="J55" s="64"/>
      <c r="K55" s="64"/>
      <c r="L55" s="64"/>
      <c r="P55" s="64"/>
      <c r="Q55" s="64"/>
    </row>
    <row r="56" spans="1:25">
      <c r="A56" s="1479" t="s">
        <v>775</v>
      </c>
      <c r="B56" s="1480"/>
      <c r="C56" s="1096">
        <v>0</v>
      </c>
      <c r="D56" s="1085" t="s">
        <v>776</v>
      </c>
      <c r="E56" s="1086"/>
      <c r="F56" s="1097">
        <v>8</v>
      </c>
      <c r="H56" s="64"/>
      <c r="I56" s="64"/>
      <c r="J56" s="64"/>
      <c r="K56" s="64"/>
      <c r="L56" s="64"/>
      <c r="O56" s="167"/>
      <c r="P56" s="64"/>
      <c r="Q56" s="64"/>
    </row>
    <row r="57" spans="1:25">
      <c r="A57" s="1479" t="s">
        <v>777</v>
      </c>
      <c r="B57" s="1480"/>
      <c r="C57" s="1097">
        <v>0</v>
      </c>
      <c r="D57" s="1085" t="s">
        <v>778</v>
      </c>
      <c r="E57" s="1086"/>
      <c r="F57" s="1097">
        <v>8</v>
      </c>
      <c r="K57" s="64"/>
      <c r="L57" s="64"/>
      <c r="N57" s="167"/>
      <c r="O57" s="167"/>
      <c r="P57" s="64"/>
      <c r="Q57" s="64"/>
    </row>
    <row r="58" spans="1:25">
      <c r="A58" s="1479" t="s">
        <v>779</v>
      </c>
      <c r="B58" s="1480"/>
      <c r="C58" s="1097">
        <v>0</v>
      </c>
      <c r="D58" s="1085" t="s">
        <v>780</v>
      </c>
      <c r="E58" s="1086"/>
      <c r="F58" s="1097">
        <v>8</v>
      </c>
      <c r="M58" s="64"/>
      <c r="N58" s="64"/>
      <c r="O58" s="64"/>
      <c r="P58" s="64"/>
      <c r="Q58" s="64"/>
    </row>
    <row r="59" spans="1:25" ht="13.5" thickBot="1">
      <c r="A59" s="1479" t="s">
        <v>1474</v>
      </c>
      <c r="B59" s="1480"/>
      <c r="C59" s="1097">
        <v>0</v>
      </c>
      <c r="D59" s="1085" t="s">
        <v>1475</v>
      </c>
      <c r="E59" s="1086"/>
      <c r="F59" s="1097">
        <v>0</v>
      </c>
      <c r="P59" s="64"/>
      <c r="Q59" s="64"/>
    </row>
    <row r="60" spans="1:25">
      <c r="A60" s="1087" t="s">
        <v>769</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9" t="s">
        <v>3049</v>
      </c>
      <c r="F1" s="1519" t="s">
        <v>1538</v>
      </c>
      <c r="G1" s="1550">
        <f>'Damage Calc'!$J$16</f>
        <v>1548.8183523690223</v>
      </c>
      <c r="H1" s="1550"/>
      <c r="I1" s="1551"/>
    </row>
    <row r="2" spans="2:10" ht="13.5" customHeight="1" thickBot="1">
      <c r="B2" s="1549"/>
      <c r="F2" s="1548"/>
      <c r="G2" s="1552"/>
      <c r="H2" s="1552"/>
      <c r="I2" s="1553"/>
    </row>
    <row r="3" spans="2:10">
      <c r="B3" s="888">
        <v>1</v>
      </c>
      <c r="F3" s="1008" t="s">
        <v>1137</v>
      </c>
      <c r="G3" s="1526">
        <f>'Gear &amp; Buffs'!$C$7</f>
        <v>1548.8183523690223</v>
      </c>
      <c r="H3" s="1526"/>
      <c r="I3" s="1527"/>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2.61904200675243</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566.12396308928703</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0.78196727643189079</v>
      </c>
      <c r="U3" s="93">
        <f>T3/T5</f>
        <v>0.78196727643189079</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575</v>
      </c>
      <c r="O4" s="33">
        <f>P4*(P1/(1-P1))*(1-Qrec)+P4</f>
        <v>35</v>
      </c>
      <c r="P4" s="33">
        <f>35-as4p*10</f>
        <v>35</v>
      </c>
      <c r="Q4" s="33"/>
      <c r="R4" s="33" t="s">
        <v>576</v>
      </c>
      <c r="S4" s="33">
        <f>185+40*dm2p</f>
        <v>185</v>
      </c>
      <c r="T4" s="92">
        <f>fincrit</f>
        <v>0.21803272356810921</v>
      </c>
      <c r="U4" s="93">
        <f>T4/T5</f>
        <v>0.21803272356810921</v>
      </c>
      <c r="V4" s="1177" t="s">
        <v>1544</v>
      </c>
      <c r="W4" s="1178"/>
      <c r="X4" s="1182">
        <f>VLOOKUP($X$2,CHOOSE({1,2},AG56:AG284,D56:D284),2,FALSE)/VLOOKUP($X$2,CHOOSE({1,2},AG56:AG284,Q56:Q284),2,FALSE)</f>
        <v>6.2135506262640652E-2</v>
      </c>
      <c r="Y4" s="1182">
        <f>IF($W$15&gt;1, X4/$W$15, X4)</f>
        <v>6.2135506262640652E-2</v>
      </c>
      <c r="Z4" s="1179"/>
      <c r="AA4" s="1178" t="s">
        <v>1545</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1.2180327235681092</v>
      </c>
      <c r="Q5" s="33"/>
      <c r="R5" s="33" t="s">
        <v>578</v>
      </c>
      <c r="S5" s="90">
        <f>(ohavg+ap/APtoDPS*OHnorm)*(instactualhit+(1+((leth*0.06+2)-1)*(cfact-1))*instactualcrit)*(1+sa*0.1)*(0.5+0.05*dws)+avipdam</f>
        <v>836.54594007521439</v>
      </c>
      <c r="T5" s="92">
        <f>T4+T3</f>
        <v>1</v>
      </c>
      <c r="U5" s="91"/>
      <c r="V5" s="1177" t="s">
        <v>1546</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796.46746752105105</v>
      </c>
      <c r="P6" s="33"/>
      <c r="Q6" s="33"/>
      <c r="R6" s="33" t="s">
        <v>582</v>
      </c>
      <c r="S6" s="90">
        <f>(1.5+talSCallInstBon)*(MHavg+ap/APtoDPS*MHnorm+170)*(instactualhit+(1+((leth*0.06+2)-1)*(cfact-1))*instactualcrit)*(1+sa*0.1+0.04*opp+0.02*agg+Slayer4value-1)</f>
        <v>2057.4573835135416</v>
      </c>
      <c r="T6" s="92">
        <f>insthit</f>
        <v>0.76632793090325291</v>
      </c>
      <c r="U6" s="93">
        <f>T6/T8</f>
        <v>0.78196727643189079</v>
      </c>
      <c r="V6" s="1177" t="s">
        <v>1547</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1264.4451346815633</v>
      </c>
      <c r="P7" s="90">
        <f>O7/O2</f>
        <v>31.482627845221852</v>
      </c>
      <c r="Q7" s="33" t="s">
        <v>584</v>
      </c>
      <c r="R7" s="33" t="s">
        <v>585</v>
      </c>
      <c r="S7" s="90">
        <f>(MHavg+ap/APtoDPS*MHnorm+98)*(instactualhit+(1+((leth*0.06+2)-1)*(cfact-1))*instactualcrit)*(1+sa*0.1+0.02*agg+Slayer4value-1)</f>
        <v>1264.4451346815633</v>
      </c>
      <c r="T7" s="92">
        <f>instcrit</f>
        <v>0.21367206909674702</v>
      </c>
      <c r="U7" s="93">
        <f>T7/T8</f>
        <v>0.21803272356810921</v>
      </c>
      <c r="V7" s="1177" t="s">
        <v>1549</v>
      </c>
      <c r="W7" s="1178"/>
      <c r="X7" s="1179">
        <f>VLOOKUP($X$2,CHOOSE({1,2},AG56:AG284,AA56:AA284),2,FALSE)</f>
        <v>1756.4321729029607</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12.435708673419096</v>
      </c>
      <c r="I8" s="86"/>
      <c r="J8" s="86"/>
      <c r="N8" s="32"/>
      <c r="O8" s="98"/>
      <c r="P8" s="33"/>
      <c r="Q8" s="33"/>
      <c r="R8" s="33" t="s">
        <v>586</v>
      </c>
      <c r="S8" s="90">
        <f>Slayer4value*(MHavg+ap/APtoDPS*MHnorm)*(1.1+talSCallInstBon)*(instactualhit+(1+((leth*0.06+2)-1)*(cfact-1))*instactualcrit)+420*(1+raidcrit)*debuffon</f>
        <v>1585.6876942482338</v>
      </c>
      <c r="T8" s="92">
        <f>T6+T7</f>
        <v>0.98</v>
      </c>
      <c r="U8" s="91"/>
      <c r="V8" s="1184" t="s">
        <v>1550</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587</v>
      </c>
      <c r="S9" s="90">
        <f>((MHavg+ap/APtoDPS*MHspd)*1.25)*(instactualhit+(1+((leth*0.06+2)-1)*(cfact-1))*instactualcrit)</f>
        <v>1277.5618382144733</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69" t="s">
        <v>319</v>
      </c>
      <c r="I14" s="1570"/>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7" t="s">
        <v>323</v>
      </c>
      <c r="I15" s="156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75"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54"/>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55"/>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71" t="s">
        <v>329</v>
      </c>
      <c r="I20" s="1571"/>
      <c r="J20" s="1571"/>
      <c r="K20" s="1571"/>
      <c r="L20" s="1571"/>
      <c r="M20" s="1571"/>
      <c r="N20" s="1571"/>
      <c r="P20" s="1571" t="s">
        <v>330</v>
      </c>
      <c r="Q20" s="1571"/>
      <c r="R20" s="1571"/>
      <c r="S20" s="1571"/>
      <c r="T20" s="1571"/>
      <c r="U20" s="1571"/>
      <c r="V20" s="1571"/>
      <c r="AE20" s="197"/>
    </row>
    <row r="21" spans="2:31" ht="18" customHeight="1">
      <c r="B21" s="207" t="s">
        <v>128</v>
      </c>
      <c r="C21">
        <v>2</v>
      </c>
      <c r="D21" s="402" t="s">
        <v>322</v>
      </c>
      <c r="E21" s="397">
        <f>$O$4-(5*relent*C21)-(35*E3)</f>
        <v>25</v>
      </c>
      <c r="F21" s="397">
        <f>(($S$3+$S$4*C21+ap*0.03*C21)*$O$5+IF(AND(Hemorrhage=1,OR(Talents!O25="No",instatk&lt;&gt;"HEMO")),42*HDebuff,0))*$K$4*$P$5</f>
        <v>650.4045836705352</v>
      </c>
      <c r="H21" s="1572"/>
      <c r="I21" s="1572"/>
      <c r="J21" s="1572"/>
      <c r="K21" s="1572"/>
      <c r="L21" s="1572"/>
      <c r="M21" s="1572"/>
      <c r="N21" s="1572"/>
      <c r="P21" s="1572"/>
      <c r="Q21" s="1572"/>
      <c r="R21" s="1572"/>
      <c r="S21" s="1572"/>
      <c r="T21" s="1572"/>
      <c r="U21" s="1572"/>
      <c r="V21" s="1572"/>
      <c r="AE21" s="197"/>
    </row>
    <row r="22" spans="2:31">
      <c r="B22" s="207" t="s">
        <v>128</v>
      </c>
      <c r="C22">
        <v>3</v>
      </c>
      <c r="D22" s="402" t="s">
        <v>322</v>
      </c>
      <c r="E22" s="397">
        <f>$O$4-(5*relent*C22)-(35*E4)</f>
        <v>20</v>
      </c>
      <c r="F22" s="397">
        <f>(($S$3+$S$4*C22+ap*0.03*C22)*$O$5+IF(AND(Hemorrhage=1,OR(Talents!O25="No",instatk&lt;&gt;"HEMO")),42*HDebuff,0))*$K$4*$P$5</f>
        <v>918.14286015580331</v>
      </c>
      <c r="G22" s="398"/>
      <c r="H22" s="1565" t="s">
        <v>319</v>
      </c>
      <c r="I22" s="1566"/>
      <c r="J22" s="1288">
        <v>1</v>
      </c>
      <c r="K22" s="1289">
        <v>2</v>
      </c>
      <c r="L22" s="1289">
        <v>3</v>
      </c>
      <c r="M22" s="1289">
        <v>4</v>
      </c>
      <c r="N22" s="1290">
        <v>5</v>
      </c>
      <c r="P22" s="1565" t="s">
        <v>319</v>
      </c>
      <c r="Q22" s="1566"/>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73" t="s">
        <v>331</v>
      </c>
      <c r="I23" s="1574"/>
      <c r="J23" s="1193"/>
      <c r="K23" s="1194"/>
      <c r="L23" s="1194"/>
      <c r="M23" s="1194"/>
      <c r="N23" s="1195"/>
      <c r="P23" s="1576" t="s">
        <v>331</v>
      </c>
      <c r="Q23" s="1577"/>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78" t="s">
        <v>323</v>
      </c>
      <c r="Q36" s="1579"/>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75"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54"/>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55"/>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56" t="s">
        <v>323</v>
      </c>
      <c r="I43" s="155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54"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54"/>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55"/>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1137</v>
      </c>
      <c r="M51" s="1562" t="s">
        <v>3106</v>
      </c>
      <c r="N51" s="1562"/>
    </row>
    <row r="52" spans="2:43" ht="30">
      <c r="B52" s="1367" t="s">
        <v>338</v>
      </c>
      <c r="C52" s="1367"/>
      <c r="D52" s="1367"/>
      <c r="E52" s="1367"/>
      <c r="F52" s="1367"/>
      <c r="G52" s="1367"/>
      <c r="H52" s="1367"/>
      <c r="I52" s="1368" t="s">
        <v>1538</v>
      </c>
      <c r="J52" s="1369">
        <f>'Damage Calc'!$J$16</f>
        <v>1548.8183523690223</v>
      </c>
      <c r="K52" s="1368"/>
      <c r="L52" s="1370">
        <f>'Gear &amp; Buffs'!$C$7</f>
        <v>1548.8183523690223</v>
      </c>
      <c r="M52" s="1561" t="str">
        <f>ROUNDUP(J52-L52,2)&amp;" ("&amp;ROUNDUP((J52-L52)/J52,2)&amp;"%)"</f>
        <v>0 (0%)</v>
      </c>
      <c r="N52" s="1561"/>
    </row>
    <row r="53" spans="2:43">
      <c r="B53" s="1563" t="s">
        <v>1025</v>
      </c>
      <c r="C53" s="1559" t="s">
        <v>339</v>
      </c>
      <c r="D53" s="1559"/>
      <c r="E53" s="1559"/>
      <c r="F53" s="1559"/>
      <c r="G53" s="1559"/>
      <c r="H53" s="1559"/>
      <c r="I53" s="420" t="s">
        <v>340</v>
      </c>
      <c r="J53" s="1559" t="s">
        <v>341</v>
      </c>
      <c r="K53" s="1559"/>
      <c r="L53" s="1559"/>
      <c r="M53" s="421" t="s">
        <v>923</v>
      </c>
      <c r="N53" s="1559" t="s">
        <v>342</v>
      </c>
      <c r="O53" s="1559"/>
      <c r="P53" s="1559"/>
      <c r="Q53" s="1559"/>
      <c r="R53" s="1559" t="s">
        <v>3028</v>
      </c>
      <c r="S53" s="1559"/>
      <c r="T53" s="1559"/>
      <c r="U53" s="1559" t="s">
        <v>343</v>
      </c>
      <c r="V53" s="1559"/>
      <c r="W53" s="1559"/>
      <c r="X53" s="419" t="s">
        <v>321</v>
      </c>
      <c r="Y53" s="1559" t="s">
        <v>318</v>
      </c>
      <c r="Z53" s="1559"/>
      <c r="AA53" s="1559"/>
      <c r="AB53" s="1559"/>
      <c r="AC53" s="1559"/>
      <c r="AD53" s="1559"/>
      <c r="AE53" s="1559"/>
      <c r="AF53" s="1559"/>
      <c r="AG53" s="1560" t="s">
        <v>1538</v>
      </c>
      <c r="AH53" s="1564" t="s">
        <v>344</v>
      </c>
      <c r="AI53" s="1564"/>
      <c r="AJ53" s="1564"/>
      <c r="AK53" s="1558" t="s">
        <v>345</v>
      </c>
      <c r="AP53">
        <v>1</v>
      </c>
      <c r="AQ53" s="905" t="s">
        <v>3034</v>
      </c>
    </row>
    <row r="54" spans="2:43">
      <c r="B54" s="1563"/>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60"/>
      <c r="AH54" s="422" t="s">
        <v>126</v>
      </c>
      <c r="AI54" s="422" t="s">
        <v>346</v>
      </c>
      <c r="AJ54" s="1375" t="s">
        <v>332</v>
      </c>
      <c r="AK54" s="155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0.30902309031775205</v>
      </c>
      <c r="D2" s="371">
        <f>10/(20+1/('Damage Calc'!I80*'Damage Calc'!L80))</f>
        <v>0.30902309031775205</v>
      </c>
      <c r="E2" s="120">
        <f>IF(OR(trinket1="Dragonspine Trophy",trinket2="Dragonspine Trophy"),325*(D2-itDSTup)*dpsHaste,0)</f>
        <v>0</v>
      </c>
      <c r="F2" s="6" t="s">
        <v>2307</v>
      </c>
      <c r="G2" s="504" t="s">
        <v>3151</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2308</v>
      </c>
      <c r="G3" s="504" t="s">
        <v>3149</v>
      </c>
    </row>
    <row r="4" spans="1:7">
      <c r="A4" s="6" t="s">
        <v>991</v>
      </c>
      <c r="B4" s="371">
        <v>0.40234326580194024</v>
      </c>
      <c r="C4" s="371">
        <v>0.40511784417923696</v>
      </c>
      <c r="D4" s="371">
        <f>20/(45+1/('Damage Calc'!K47*10%))</f>
        <v>0.40511784417923696</v>
      </c>
      <c r="E4" s="120">
        <f>IF(OR(trinket1="Shard of Contempt",trinket2="Shard of Contempt"),230*(D4-itSoCup)*dpsAP,0)</f>
        <v>0</v>
      </c>
      <c r="F4" s="6" t="s">
        <v>2309</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2311</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2312</v>
      </c>
      <c r="G6" s="504" t="s">
        <v>3154</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2308</v>
      </c>
      <c r="G7" s="504" t="s">
        <v>3152</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2308</v>
      </c>
      <c r="G8" s="504" t="s">
        <v>3153</v>
      </c>
    </row>
    <row r="9" spans="1:7">
      <c r="A9" s="6" t="s">
        <v>1928</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2308</v>
      </c>
      <c r="G9" s="504"/>
    </row>
    <row r="10" spans="1:7">
      <c r="A10" s="6" t="s">
        <v>1929</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2308</v>
      </c>
      <c r="G10" s="504" t="s">
        <v>3148</v>
      </c>
    </row>
    <row r="11" spans="1:7" ht="12" thickBot="1">
      <c r="A11" s="6" t="s">
        <v>1930</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2308</v>
      </c>
      <c r="G11" s="505"/>
    </row>
    <row r="12" spans="1:7">
      <c r="A12" s="6" t="s">
        <v>1720</v>
      </c>
      <c r="B12" s="371">
        <v>0.15286968379242344</v>
      </c>
      <c r="C12" s="371">
        <v>0.14602269986939131</v>
      </c>
      <c r="D12" s="371">
        <f>10/(50+1/('Damage Calc'!K58*10%))</f>
        <v>0.14602269986939131</v>
      </c>
      <c r="E12" s="120">
        <f>IF(OR(trinket1="Hourglass of the Unraveller",trinket2="Hourglass of the Unraveller"),300*(D12-itHGup)*dpsAP,0)</f>
        <v>0</v>
      </c>
      <c r="F12" s="6" t="s">
        <v>2878</v>
      </c>
    </row>
    <row r="13" spans="1:7">
      <c r="A13" s="6" t="s">
        <v>524</v>
      </c>
      <c r="B13" s="371">
        <v>0.20773092034110976</v>
      </c>
      <c r="C13" s="371">
        <v>0.20871495942358367</v>
      </c>
      <c r="D13" s="371">
        <f>10/(45+1/('Damage Calc'!K47*15%))</f>
        <v>0.20871495942358367</v>
      </c>
      <c r="E13" s="120">
        <f>IF(Neck="Shattered Sun Pendant of Might (Aldor)",200*(D13-itSSPMAup)*dpsAP,0)</f>
        <v>0</v>
      </c>
      <c r="F13" s="6" t="s">
        <v>2874</v>
      </c>
    </row>
    <row r="14" spans="1:7">
      <c r="A14" s="6" t="s">
        <v>2313</v>
      </c>
      <c r="B14" s="217">
        <v>48.139198457212096</v>
      </c>
      <c r="C14" s="217">
        <v>47.912234118806786</v>
      </c>
      <c r="D14" s="217">
        <f>(45+1/('Damage Calc'!K47*15%))</f>
        <v>47.912234118806786</v>
      </c>
      <c r="E14" s="120">
        <v>0</v>
      </c>
      <c r="F14" s="6" t="s">
        <v>2874</v>
      </c>
    </row>
    <row r="15" spans="1:7">
      <c r="A15" s="6" t="s">
        <v>526</v>
      </c>
      <c r="B15" s="371">
        <v>0.20773092034110976</v>
      </c>
      <c r="C15" s="371">
        <v>0.20871495942358367</v>
      </c>
      <c r="D15" s="371">
        <f>10/(45+1/('Damage Calc'!K47*15%))</f>
        <v>0.20871495942358367</v>
      </c>
      <c r="E15" s="120">
        <v>0</v>
      </c>
      <c r="F15" s="6" t="s">
        <v>2874</v>
      </c>
    </row>
    <row r="16" spans="1:7">
      <c r="A16" s="6" t="s">
        <v>525</v>
      </c>
      <c r="B16" s="371">
        <v>0.20773092034110976</v>
      </c>
      <c r="C16" s="371">
        <v>0.20871495942358367</v>
      </c>
      <c r="D16" s="371">
        <f>10/(45+1/('Damage Calc'!K47*15%))</f>
        <v>0.20871495942358367</v>
      </c>
      <c r="E16" s="120">
        <f>IF(Neck="Shattered Sun Pendant of Resolve (Scryer)",100*(D16-itSSPRSup)*dpsExp,0)</f>
        <v>0</v>
      </c>
      <c r="F16" s="6" t="s">
        <v>2874</v>
      </c>
    </row>
    <row r="17" spans="1:6">
      <c r="A17" s="6" t="s">
        <v>1134</v>
      </c>
      <c r="B17" s="371">
        <v>0.52329256506102406</v>
      </c>
      <c r="C17" s="371">
        <v>0.56902948800672781</v>
      </c>
      <c r="D17" s="371">
        <f>1-(1-'Damage Calc'!L48)^(15*'Damage Calc'!I48)-IF(time=0,0,(1-'Damage Calc'!L48)^(15*'Damage Calc'!I48)*0.5*15/time)</f>
        <v>0.56902948800672781</v>
      </c>
      <c r="E17" s="120">
        <f>IF('Gear &amp; Buffs'!B11="Crusader",60*(D17-enCrMHup)*dpsStr,0)</f>
        <v>0</v>
      </c>
      <c r="F17" s="6" t="s">
        <v>2308</v>
      </c>
    </row>
    <row r="18" spans="1:6">
      <c r="A18" s="6" t="s">
        <v>1135</v>
      </c>
      <c r="B18" s="371">
        <v>0.29969713673447618</v>
      </c>
      <c r="C18" s="371">
        <v>0.31396701321178316</v>
      </c>
      <c r="D18" s="371">
        <f>1-(1-'Damage Calc'!L49)^(15*'Damage Calc'!I49)-IF(time=0,0,(1-'Damage Calc'!L49)^(15*'Damage Calc'!I49)*0.5*15/time)</f>
        <v>0.31396701321178316</v>
      </c>
      <c r="E18" s="120">
        <f>IF('Gear &amp; Buffs'!B17="Crusader",60*(D18-enCrOHup)*dpsStr,0)</f>
        <v>0</v>
      </c>
      <c r="F18" s="6" t="s">
        <v>2308</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2060</v>
      </c>
      <c r="B22" s="371">
        <v>0.25646610678141257</v>
      </c>
      <c r="C22" s="371">
        <v>0.28581479372015589</v>
      </c>
      <c r="D22" s="371">
        <f>1-(1-'Damage Calc'!L48)^(6*'Damage Calc'!I48)-IF(time=0,0,(1-'Damage Calc'!L48)^(6*'Damage Calc'!I48)*0.5*6/time)</f>
        <v>0.28581479372015589</v>
      </c>
      <c r="E22" s="120">
        <v>0</v>
      </c>
      <c r="F22" s="6" t="s">
        <v>2308</v>
      </c>
    </row>
    <row r="23" spans="1:6">
      <c r="A23" s="6" t="s">
        <v>2061</v>
      </c>
      <c r="B23" s="371">
        <v>0.13280980102516837</v>
      </c>
      <c r="C23" s="371">
        <v>0.14130375871058107</v>
      </c>
      <c r="D23" s="371">
        <f>1-(1-'Damage Calc'!L49)^(6*'Damage Calc'!I49)-IF(time=0,0,(1-'Damage Calc'!L48)^(6*'Damage Calc'!I48)*0.5*6/time)</f>
        <v>0.14130375871058107</v>
      </c>
      <c r="E23" s="120">
        <v>0</v>
      </c>
      <c r="F23" s="6" t="s">
        <v>2308</v>
      </c>
    </row>
    <row r="24" spans="1:6">
      <c r="A24" s="6" t="s">
        <v>2062</v>
      </c>
      <c r="B24" s="371">
        <v>0.35478080629916287</v>
      </c>
      <c r="C24" s="371">
        <v>0.39027144934557584</v>
      </c>
      <c r="D24" s="371">
        <f>1-(1-'Damage Calc'!L47)^(6*'Damage Calc'!I47)-IF(time=0,0,(1-'Damage Calc'!L48)^(6*'Damage Calc'!I48)*0.5*6/time)</f>
        <v>0.39027144934557584</v>
      </c>
      <c r="E24" s="120">
        <v>0</v>
      </c>
      <c r="F24" s="6" t="s">
        <v>2308</v>
      </c>
    </row>
    <row r="25" spans="1:6">
      <c r="A25" s="6" t="s">
        <v>2064</v>
      </c>
      <c r="B25" s="371">
        <v>4.8388681306019823E-2</v>
      </c>
      <c r="C25" s="371">
        <v>5.6524395587759318E-2</v>
      </c>
      <c r="D25" s="371">
        <f>'Damage Calc'!L48*'Damage Calc'!I48</f>
        <v>5.6524395587759318E-2</v>
      </c>
      <c r="E25" s="120">
        <v>0</v>
      </c>
      <c r="F25" s="6" t="s">
        <v>2308</v>
      </c>
    </row>
    <row r="26" spans="1:6">
      <c r="A26" s="6" t="s">
        <v>2065</v>
      </c>
      <c r="B26" s="371">
        <v>2.349719128761122E-2</v>
      </c>
      <c r="C26" s="371">
        <v>2.6461054408222058E-2</v>
      </c>
      <c r="D26" s="371">
        <f>'Damage Calc'!L49*'Damage Calc'!I49</f>
        <v>2.6461054408222058E-2</v>
      </c>
      <c r="E26" s="120">
        <v>0</v>
      </c>
      <c r="F26" s="6" t="s">
        <v>2308</v>
      </c>
    </row>
    <row r="27" spans="1:6">
      <c r="A27" s="6" t="s">
        <v>1674</v>
      </c>
      <c r="B27" s="371">
        <v>0.16890115759854415</v>
      </c>
      <c r="C27" s="371">
        <v>0.17454689480808019</v>
      </c>
      <c r="D27" s="371">
        <f>10/(45+1/('Damage Calc'!I89*'Damage Calc'!L89))</f>
        <v>0.17454689480808019</v>
      </c>
      <c r="E27" s="120">
        <f>IF(SetTB2p, 450*(D27-stTwinUP)*dpsHaste, 0)</f>
        <v>0</v>
      </c>
      <c r="F27" s="6" t="s">
        <v>1675</v>
      </c>
    </row>
    <row r="28" spans="1:6">
      <c r="A28" s="6" t="s">
        <v>2005</v>
      </c>
      <c r="B28" s="371">
        <v>0.40234326580194024</v>
      </c>
      <c r="C28" s="371">
        <v>0.40511784417923696</v>
      </c>
      <c r="D28" s="371">
        <f>20/(45+1/('Damage Calc'!K47*10%))</f>
        <v>0.40511784417923696</v>
      </c>
      <c r="E28" s="120">
        <f>IF(OR(trinket1="Blackened Naaru Sliver",trinket2="Blackened Naaru Sliver"),(D29*D28-C29*C28)*dpsAP,0)</f>
        <v>0</v>
      </c>
      <c r="F28" s="6" t="s">
        <v>2309</v>
      </c>
    </row>
    <row r="29" spans="1:6">
      <c r="A29" s="6" t="s">
        <v>2006</v>
      </c>
      <c r="B29" s="217">
        <v>393.38290291040045</v>
      </c>
      <c r="C29" s="217">
        <v>399.40051069466335</v>
      </c>
      <c r="D29" s="217">
        <f>Trinket!AG43</f>
        <v>399.40051069466335</v>
      </c>
      <c r="E29" s="120"/>
    </row>
    <row r="30" spans="1:6">
      <c r="A30" s="6" t="s">
        <v>1089</v>
      </c>
      <c r="B30" s="371">
        <v>2.1214511306480888E-2</v>
      </c>
      <c r="C30" s="371">
        <v>2.3641261578057793E-2</v>
      </c>
      <c r="D30" s="371">
        <f>1-(1-'Damage Calc'!L47)^(MIN((Cycles!J15*Cycles!O2+25-5*relent-25*dm4p1)/Cycles!C7,20)/'Damage Calc'!J47)</f>
        <v>2.3641261578057793E-2</v>
      </c>
      <c r="E30" s="120"/>
    </row>
    <row r="31" spans="1:6">
      <c r="A31" s="6" t="s">
        <v>1080</v>
      </c>
      <c r="B31" s="371">
        <v>4.1778695251399434E-2</v>
      </c>
      <c r="C31" s="371">
        <v>4.6523637028424325E-2</v>
      </c>
      <c r="D31" s="371">
        <f>1-(1-'Damage Calc'!L47)^(MIN((Cycles!K15*Cycles!O2+25-10*relent-25*dm4p1)/Cycles!C7,20)/'Damage Calc'!J47)</f>
        <v>4.6523637028424325E-2</v>
      </c>
      <c r="E31" s="120"/>
    </row>
    <row r="32" spans="1:6">
      <c r="A32" s="6" t="s">
        <v>1081</v>
      </c>
      <c r="B32" s="371">
        <v>6.1910827775240151E-2</v>
      </c>
      <c r="C32" s="371">
        <v>6.8869731001863665E-2</v>
      </c>
      <c r="D32" s="371">
        <f>1-(1-'Damage Calc'!L47)^(MIN((Cycles!L15*Cycles!O2+25-15*relent-25*dm4p1)/Cycles!C7,20)/'Damage Calc'!J47)</f>
        <v>6.8869731001863665E-2</v>
      </c>
      <c r="E32" s="120"/>
    </row>
    <row r="33" spans="1:6">
      <c r="A33" s="6" t="s">
        <v>1082</v>
      </c>
      <c r="B33" s="371">
        <v>8.1619986234583441E-2</v>
      </c>
      <c r="C33" s="371">
        <v>9.0692112028383787E-2</v>
      </c>
      <c r="D33" s="371">
        <f>1-(1-'Damage Calc'!L47)^(MIN((Cycles!M15*Cycles!O2+25-20*relent-25*dm4p1)/Cycles!C7,20)/'Damage Calc'!J47)</f>
        <v>9.0692112028383787E-2</v>
      </c>
      <c r="E33" s="120"/>
    </row>
    <row r="34" spans="1:6">
      <c r="A34" s="6" t="s">
        <v>1083</v>
      </c>
      <c r="B34" s="371">
        <v>0.10091505727166783</v>
      </c>
      <c r="C34" s="371">
        <v>0.11200305407636113</v>
      </c>
      <c r="D34" s="371">
        <f>1-(1-'Damage Calc'!L47)^(MIN((Cycles!N15*Cycles!O2+25-25*relent-25*dm4p1)/Cycles!C7,20)/'Damage Calc'!J47)</f>
        <v>0.11200305407636113</v>
      </c>
      <c r="E34" s="120"/>
    </row>
    <row r="35" spans="1:6">
      <c r="A35" s="6" t="s">
        <v>1084</v>
      </c>
      <c r="B35" s="371">
        <v>2.1214511306480888E-2</v>
      </c>
      <c r="C35" s="371">
        <v>2.3641261578057793E-2</v>
      </c>
      <c r="D35" s="371">
        <f>1-(1-'Damage Calc'!L47)^(MIN((Cycles!J15*Cycles!O2+Cycles!O3-5*relent-25*dm4p1)/Cycles!C7,20)/'Damage Calc'!J47)</f>
        <v>2.3641261578057793E-2</v>
      </c>
      <c r="E35" s="120"/>
    </row>
    <row r="36" spans="1:6">
      <c r="A36" s="6" t="s">
        <v>1085</v>
      </c>
      <c r="B36" s="371">
        <v>4.1778695251399434E-2</v>
      </c>
      <c r="C36" s="371">
        <v>4.6523637028424325E-2</v>
      </c>
      <c r="D36" s="371">
        <f>1-(1-'Damage Calc'!L47)^(MIN((Cycles!K15*Cycles!O2+Cycles!O3-10*relent-25*dm4p1)/Cycles!C7,20)/'Damage Calc'!J47)</f>
        <v>4.6523637028424325E-2</v>
      </c>
      <c r="E36" s="120"/>
    </row>
    <row r="37" spans="1:6">
      <c r="A37" s="6" t="s">
        <v>1086</v>
      </c>
      <c r="B37" s="371">
        <v>6.1910827775240151E-2</v>
      </c>
      <c r="C37" s="371">
        <v>6.8869731001863665E-2</v>
      </c>
      <c r="D37" s="371">
        <f>1-(1-'Damage Calc'!L47)^(MIN((Cycles!L15*Cycles!O2+Cycles!O3-15*relent-25*dm4p1)/Cycles!C7,20)/'Damage Calc'!J47)</f>
        <v>6.8869731001863665E-2</v>
      </c>
      <c r="E37" s="120"/>
    </row>
    <row r="38" spans="1:6">
      <c r="A38" s="6" t="s">
        <v>1087</v>
      </c>
      <c r="B38" s="371">
        <v>8.1619986234583441E-2</v>
      </c>
      <c r="C38" s="371">
        <v>9.0692112028383787E-2</v>
      </c>
      <c r="D38" s="371">
        <f>1-(1-'Damage Calc'!L47)^(MIN((Cycles!M15*Cycles!O2+Cycles!O3-20*relent-25*dm4p1)/Cycles!C7,20)/'Damage Calc'!J47)</f>
        <v>9.0692112028383787E-2</v>
      </c>
      <c r="E38" s="120"/>
    </row>
    <row r="39" spans="1:6">
      <c r="A39" s="6" t="s">
        <v>1088</v>
      </c>
      <c r="B39" s="371">
        <v>0.10091505727166783</v>
      </c>
      <c r="C39" s="371">
        <v>0.11200305407636113</v>
      </c>
      <c r="D39" s="371">
        <f>1-(1-'Damage Calc'!L47)^(MIN((Cycles!N15*Cycles!O2+Cycles!O3-25*relent-25*dm4p1)/Cycles!C7,20)/'Damage Calc'!J47)</f>
        <v>0.11200305407636113</v>
      </c>
      <c r="E39" s="120"/>
    </row>
    <row r="40" spans="1:6">
      <c r="A40" s="6" t="s">
        <v>1094</v>
      </c>
      <c r="B40" s="371">
        <v>2.7100225771663156E-2</v>
      </c>
      <c r="C40" s="371">
        <v>3.0204040508042151E-2</v>
      </c>
      <c r="D40" s="371">
        <f>1-(1-'Damage Calc'!L47)^(MIN((Cycles!J15*Cycles!O2+Cycles!O4-5*relent-25*dm4p1)/Cycles!C7,20)/'Damage Calc'!J47)</f>
        <v>3.0204040508042151E-2</v>
      </c>
      <c r="E40" s="120"/>
    </row>
    <row r="41" spans="1:6">
      <c r="A41" s="6" t="s">
        <v>1090</v>
      </c>
      <c r="B41" s="371">
        <v>4.7540751452020746E-2</v>
      </c>
      <c r="C41" s="371">
        <v>5.2932607767255058E-2</v>
      </c>
      <c r="D41" s="371">
        <f>1-(1-'Damage Calc'!L47)^(MIN((Cycles!K15*Cycles!O2+Cycles!O4-10*relent-25*dm4p1)/Cycles!C7,20)/'Damage Calc'!J47)</f>
        <v>5.2932607767255058E-2</v>
      </c>
      <c r="E41" s="120"/>
    </row>
    <row r="42" spans="1:6">
      <c r="A42" s="6" t="s">
        <v>1091</v>
      </c>
      <c r="B42" s="371">
        <v>6.7551823758909557E-2</v>
      </c>
      <c r="C42" s="371">
        <v>7.5128498266371802E-2</v>
      </c>
      <c r="D42" s="371">
        <f>1-(1-'Damage Calc'!L47)^(MIN((Cycles!L15*Cycles!O2+Cycles!O4-15*relent-25*dm4p1)/Cycles!C7,20)/'Damage Calc'!J47)</f>
        <v>7.5128498266371802E-2</v>
      </c>
      <c r="E42" s="120"/>
    </row>
    <row r="43" spans="1:6">
      <c r="A43" s="6" t="s">
        <v>1092</v>
      </c>
      <c r="B43" s="371">
        <v>8.7142465464193131E-2</v>
      </c>
      <c r="C43" s="371">
        <v>9.6804196053661196E-2</v>
      </c>
      <c r="D43" s="371">
        <f>1-(1-'Damage Calc'!L47)^(MIN((Cycles!M15*Cycles!O2+Cycles!O4-20*relent-25*dm4p1)/Cycles!C7,20)/'Damage Calc'!J47)</f>
        <v>9.6804196053661196E-2</v>
      </c>
      <c r="E43" s="120"/>
    </row>
    <row r="44" spans="1:6">
      <c r="A44" s="6" t="s">
        <v>1093</v>
      </c>
      <c r="B44" s="371">
        <v>0.10632150977221233</v>
      </c>
      <c r="C44" s="371">
        <v>0.1179718925957125</v>
      </c>
      <c r="D44" s="371">
        <f>1-(1-'Damage Calc'!L47)^(MIN((Cycles!N15*Cycles!O2+Cycles!O4-25*relent-25*dm4p1)/Cycles!C7,20)/'Damage Calc'!J47)</f>
        <v>0.1179718925957125</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13.044091289482918</v>
      </c>
      <c r="D46" s="217">
        <f>10*'Damage Calc'!K48</f>
        <v>13.044091289482918</v>
      </c>
      <c r="E46" s="120"/>
      <c r="F46" s="6" t="s">
        <v>3010</v>
      </c>
    </row>
    <row r="47" spans="1:6">
      <c r="A47" s="6" t="s">
        <v>3011</v>
      </c>
      <c r="B47" s="217">
        <v>10.070224837547666</v>
      </c>
      <c r="C47" s="217">
        <v>11.340451889238023</v>
      </c>
      <c r="D47" s="217">
        <f>10*'Damage Calc'!K49</f>
        <v>11.340451889238023</v>
      </c>
      <c r="E47" s="120"/>
      <c r="F47" s="6" t="s">
        <v>3010</v>
      </c>
    </row>
    <row r="48" spans="1:6">
      <c r="A48" s="6" t="s">
        <v>3014</v>
      </c>
      <c r="B48" s="371">
        <v>0.15209062457841166</v>
      </c>
      <c r="C48" s="371">
        <v>0.1593400530367651</v>
      </c>
      <c r="D48" s="371">
        <f>10/(45+1/('Damage Calc'!I107*'Damage Calc'!L107))</f>
        <v>0.1593400530367651</v>
      </c>
      <c r="E48" s="120">
        <f>IF(mh="The Bladefist", 180*(D48-itTBFup)*dpsHaste, 0)</f>
        <v>0</v>
      </c>
      <c r="F48" s="6" t="s">
        <v>1675</v>
      </c>
    </row>
    <row r="49" spans="1:6">
      <c r="A49" s="6" t="s">
        <v>2238</v>
      </c>
      <c r="B49" s="371">
        <v>0.38975913970519804</v>
      </c>
      <c r="C49" s="371">
        <v>0.42940532870484138</v>
      </c>
      <c r="D49" s="371">
        <f>1-(1-'Damage Calc'!$L$48)^(10*'Damage Calc'!$I$48)-IF(time=0,0,(1-'Damage Calc'!$L$48)^(10*'Damage Calc'!$I$48)*0.5*10/time)</f>
        <v>0.42940532870484138</v>
      </c>
      <c r="E49" s="120">
        <f>IF(mh="Heartrazor",270*(D49-itHRmhUP)*dpsAP,0)</f>
        <v>0</v>
      </c>
      <c r="F49" s="6" t="s">
        <v>2308</v>
      </c>
    </row>
    <row r="50" spans="1:6">
      <c r="A50" s="6" t="s">
        <v>2239</v>
      </c>
      <c r="B50" s="371">
        <v>0.2113991006769228</v>
      </c>
      <c r="C50" s="371">
        <v>0.22209599625490814</v>
      </c>
      <c r="D50" s="371">
        <f>1-(1-'Damage Calc'!$L$49)^(10*'Damage Calc'!$I$49)-IF(time=0,0,(1-'Damage Calc'!$L$49)^(10*'Damage Calc'!$I$49)*0.5*10/time)</f>
        <v>0.22209599625490814</v>
      </c>
      <c r="E50" s="120">
        <f>IF(mh="Heartrazor",270*(D50-itHRohUP)*dpsAP,0)</f>
        <v>0</v>
      </c>
      <c r="F50" s="6" t="s">
        <v>2308</v>
      </c>
    </row>
    <row r="51" spans="1:6">
      <c r="A51" s="6" t="s">
        <v>3017</v>
      </c>
      <c r="B51" s="371">
        <v>0.38975913970519804</v>
      </c>
      <c r="C51" s="371">
        <v>0.42940532870484138</v>
      </c>
      <c r="D51" s="371">
        <f>1-(1-'Damage Calc'!$L$48)^(10*'Damage Calc'!$I$48)-IF(time=0,0,(1-'Damage Calc'!$L$48)^(10*'Damage Calc'!$I$48)*0.5*10/time)</f>
        <v>0.42940532870484138</v>
      </c>
      <c r="E51" s="120"/>
      <c r="F51" s="6" t="s">
        <v>2308</v>
      </c>
    </row>
    <row r="52" spans="1:6">
      <c r="A52" s="6" t="s">
        <v>3016</v>
      </c>
      <c r="B52" s="371">
        <v>0.2113991006769228</v>
      </c>
      <c r="C52" s="371">
        <v>0.22209599625490814</v>
      </c>
      <c r="D52" s="371">
        <f>1-(1-'Damage Calc'!$L$49)^(10*'Damage Calc'!$I$49)-IF(time=0,0,(1-'Damage Calc'!$L$49)^(10*'Damage Calc'!$I$49)*0.5*10/time)</f>
        <v>0.22209599625490814</v>
      </c>
      <c r="E52" s="120"/>
      <c r="F52" s="6" t="s">
        <v>2308</v>
      </c>
    </row>
    <row r="53" spans="1:6">
      <c r="A53" s="6" t="s">
        <v>2412</v>
      </c>
      <c r="B53" s="217">
        <v>0.44805233509221709</v>
      </c>
      <c r="C53" s="217">
        <v>0.33125428041355692</v>
      </c>
      <c r="D53" s="217">
        <f>5*instsec*instcrit</f>
        <v>0.33125428041355692</v>
      </c>
      <c r="E53" s="120"/>
    </row>
    <row r="54" spans="1:6">
      <c r="A54" s="6" t="s">
        <v>2877</v>
      </c>
      <c r="B54" s="371">
        <v>0.31102727206362035</v>
      </c>
      <c r="C54" s="371">
        <v>0.333563410569305</v>
      </c>
      <c r="D54" s="371">
        <f>'Damage Calc'!L47*(15-IF(CharLevel&gt;60,(CharLevel-60)*0.5,0))</f>
        <v>0.333563410569305</v>
      </c>
      <c r="E54" s="120"/>
      <c r="F54" s="6" t="s">
        <v>2979</v>
      </c>
    </row>
    <row r="55" spans="1:6">
      <c r="A55" s="6" t="s">
        <v>2860</v>
      </c>
      <c r="B55" s="217">
        <v>63.710530801425953</v>
      </c>
      <c r="C55" s="217">
        <v>68.675797288559011</v>
      </c>
      <c r="D55" s="217">
        <f>30*'Damage Calc'!K47</f>
        <v>68.675797288559011</v>
      </c>
      <c r="E55" s="120"/>
      <c r="F55" s="6" t="s">
        <v>2979</v>
      </c>
    </row>
    <row r="56" spans="1:6">
      <c r="A56" s="6" t="s">
        <v>2873</v>
      </c>
      <c r="B56" s="371">
        <v>0.11108414712726833</v>
      </c>
      <c r="C56" s="371">
        <v>0.11508819422971754</v>
      </c>
      <c r="D56" s="371">
        <f>6/(40+1/('Damage Calc'!I98*'Damage Calc'!L98))</f>
        <v>0.11508819422971754</v>
      </c>
      <c r="E56" s="120"/>
      <c r="F56" s="6" t="s">
        <v>2875</v>
      </c>
    </row>
    <row r="57" spans="1:6">
      <c r="A57" s="6" t="s">
        <v>2880</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2881</v>
      </c>
    </row>
    <row r="58" spans="1:6">
      <c r="A58" s="6" t="s">
        <v>3042</v>
      </c>
      <c r="B58" s="371">
        <v>0.47458276748102635</v>
      </c>
      <c r="C58" s="371">
        <v>0.4877927258898237</v>
      </c>
      <c r="D58" s="371">
        <f>1-(1-0.02)^(15*'Damage Calc'!K47)-IF(time=0,0,(1-0.02)^(15*'Damage Calc'!K47)*0.5*15/time)</f>
        <v>0.4877927258898237</v>
      </c>
      <c r="E58" s="120">
        <f>IF(ww4p, 160*(D58-C58)*dpsAP, 0)</f>
        <v>0</v>
      </c>
      <c r="F58" s="6" t="s">
        <v>3040</v>
      </c>
    </row>
    <row r="59" spans="1:6">
      <c r="A59" s="6" t="s">
        <v>3127</v>
      </c>
      <c r="B59" s="217">
        <v>120</v>
      </c>
      <c r="C59" s="217">
        <v>118.4416357640376</v>
      </c>
      <c r="D59" s="217">
        <f>Trinket!BA48</f>
        <v>118.4416357640376</v>
      </c>
      <c r="E59" s="120"/>
    </row>
    <row r="60" spans="1:6">
      <c r="A60" s="6" t="s">
        <v>3129</v>
      </c>
      <c r="B60" s="371">
        <v>1.2500000000000001E-2</v>
      </c>
      <c r="C60" s="371">
        <v>1.2155373839052276E-2</v>
      </c>
      <c r="D60" s="371">
        <f>2%*IF(CharLevel&gt;60,(CharLevel-60)*2/30,0)*(1-2%)^(2*'Damage Calc'!K47)</f>
        <v>1.2155373839052276E-2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1579</v>
      </c>
      <c r="Q2" s="68">
        <f>BaseMissPerc</f>
        <v>0.27</v>
      </c>
      <c r="R2" s="203"/>
      <c r="T2" s="27" t="s">
        <v>3098</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3007</v>
      </c>
      <c r="M4" s="68">
        <f>IF(time=0, 1-(Q43/(467.5*CharLevel+Q43-22167.5)), 'Cooldowns Calc'!AA1)</f>
        <v>0.74178816089934863</v>
      </c>
      <c r="O4" s="489" t="s">
        <v>397</v>
      </c>
      <c r="P4" s="68"/>
      <c r="Q4" s="68">
        <f>BaseParPerc</f>
        <v>0.14000000000000001</v>
      </c>
      <c r="T4" s="27" t="s">
        <v>3092</v>
      </c>
      <c r="U4" s="107">
        <f>14*conv</f>
        <v>22.076923076923077</v>
      </c>
    </row>
    <row r="5" spans="1:21">
      <c r="A5" s="523" t="s">
        <v>1439</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1181</v>
      </c>
      <c r="Q5" s="68">
        <f>BaseGlanPerc</f>
        <v>0.24</v>
      </c>
      <c r="T5" s="27" t="s">
        <v>3093</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1183</v>
      </c>
      <c r="O6" s="66" t="s">
        <v>1182</v>
      </c>
      <c r="Q6" s="69">
        <f>OHDamFact</f>
        <v>0.75</v>
      </c>
      <c r="T6" s="27" t="s">
        <v>3094</v>
      </c>
      <c r="U6" s="105">
        <f>12*conv</f>
        <v>18.923076923076923</v>
      </c>
    </row>
    <row r="7" spans="1:21" ht="13.5" thickBot="1">
      <c r="A7" s="541" t="s">
        <v>1200</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1188</v>
      </c>
      <c r="M8" s="72">
        <f>'Gear &amp; Buffs'!E6</f>
        <v>0.21803272356810921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3151.8007204290034</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1191</v>
      </c>
      <c r="Q10" s="66">
        <f>BaseGlanFact</f>
        <v>0.75</v>
      </c>
      <c r="T10" s="160" t="s">
        <v>3097</v>
      </c>
      <c r="U10" s="1336">
        <f>IF(CharLevel*5-BossLevel*5&lt;0, 0.2%, 0.04%)</f>
        <v>2E-3</v>
      </c>
    </row>
    <row r="11" spans="1:21">
      <c r="A11" s="547" t="s">
        <v>1189</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27.42962575839146</v>
      </c>
      <c r="J13" s="567">
        <f>I13</f>
        <v>27.42962575839146</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79.672530897705457</v>
      </c>
      <c r="J14" s="508">
        <f>I14</f>
        <v>79.672530897705457</v>
      </c>
      <c r="L14" s="66" t="s">
        <v>1202</v>
      </c>
      <c r="M14" s="66">
        <f>ohspd</f>
        <v>1.4</v>
      </c>
      <c r="O14" s="76" t="s">
        <v>1203</v>
      </c>
      <c r="Q14" s="77">
        <f>bMHhsec+G3</f>
        <v>0.61063971711281662</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1991.4437524963637</v>
      </c>
      <c r="J16" s="1316">
        <f>SUM(J2:J15)</f>
        <v>1548.8183523690223</v>
      </c>
      <c r="O16" s="76" t="s">
        <v>1205</v>
      </c>
      <c r="Q16" s="77">
        <f>bOHhsec+G6+G7</f>
        <v>1.1340451889238023</v>
      </c>
      <c r="T16" s="15" t="s">
        <v>3113</v>
      </c>
      <c r="U16" s="651">
        <f>IF(numPhysDps=0,0,10/35*10/(2*numPhysDps))</f>
        <v>0.14285714285714285</v>
      </c>
    </row>
    <row r="17" spans="1:21">
      <c r="O17" s="76" t="s">
        <v>2251</v>
      </c>
      <c r="Q17" s="80">
        <f>instsec</f>
        <v>0.31005856948347399</v>
      </c>
      <c r="R17" s="651">
        <f>1/Q17</f>
        <v>3.2251971028115696</v>
      </c>
    </row>
    <row r="18" spans="1:21">
      <c r="A18" s="79" t="s">
        <v>1206</v>
      </c>
      <c r="B18" s="79"/>
      <c r="C18" s="79" t="s">
        <v>419</v>
      </c>
      <c r="D18" s="79"/>
      <c r="E18" s="79" t="str">
        <f>"Hit Table - "&amp;instatklng</f>
        <v>Hit Table - Sinister Strike</v>
      </c>
      <c r="F18" s="79"/>
      <c r="G18" s="67"/>
      <c r="J18" s="339" t="s">
        <v>108</v>
      </c>
      <c r="O18" s="66" t="s">
        <v>2252</v>
      </c>
      <c r="Q18" s="78">
        <f>evisec+rupsec+envsec</f>
        <v>6.449713414720043E-2</v>
      </c>
      <c r="R18" s="651">
        <f>Q17+Q18</f>
        <v>0.37455570363067442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0.16995263328467364</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2.289193242951967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3.2251971028115696</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0.21803272356810921</v>
      </c>
      <c r="C23" s="66" t="s">
        <v>1188</v>
      </c>
      <c r="D23" s="68">
        <f>MIN((1-D19-D20-D21-D22),(M8)-IF(mhtype="dagger",Talents!$F$24/100,0)-IF(mhtype="fist",Talents!$F$29/100,0)+IF(ohtype="dagger",Talents!$F$24/100,0)+IF(ohtype="fist",Talents!$F$29/100,0))</f>
        <v>0.21803272356810921</v>
      </c>
      <c r="E23" s="66" t="s">
        <v>1188</v>
      </c>
      <c r="F23" s="72">
        <f>MIN(1,(M8+IF(instatk="bs",impBS,0)+IF(instatk="mut",impBS/2,0)))*(1-F19-F20-F21)+Q30</f>
        <v>0.21367206909674702</v>
      </c>
      <c r="H23" s="68"/>
      <c r="J23" s="66" t="s">
        <v>1188</v>
      </c>
      <c r="K23" s="68">
        <f>MIN(1,(M8))*(1-K19-K20-K21)+Q29</f>
        <v>0.21803272356810921</v>
      </c>
      <c r="L23" s="73"/>
      <c r="O23" s="66" t="s">
        <v>1751</v>
      </c>
      <c r="P23" s="70"/>
      <c r="Q23" s="70">
        <f>2*IF(AND('Gear &amp; Buffs'!B28="Relentless Earthstorm Diamond (12agi/3%crit dam)",MID('Gear &amp; Buffs'!R26,7,1)="1",Socket!S110),1.03,1)*IF(mhtype="mace",Talents!F26/100+1,1)</f>
        <v>2</v>
      </c>
      <c r="R23" s="71"/>
    </row>
    <row r="24" spans="1:21">
      <c r="A24" s="66" t="s">
        <v>1186</v>
      </c>
      <c r="B24" s="68">
        <f>(1-B19-B20-B21-B22-B23)</f>
        <v>0.52152825204164688</v>
      </c>
      <c r="C24" s="66" t="s">
        <v>1186</v>
      </c>
      <c r="D24" s="68">
        <f>(1-D19-D20-D21-D22-D23)</f>
        <v>0.52152825204164688</v>
      </c>
      <c r="E24" s="66" t="s">
        <v>1186</v>
      </c>
      <c r="F24" s="72">
        <f>(1-F19-F20-F21-F23)</f>
        <v>0.76632793090325291</v>
      </c>
      <c r="H24" s="68"/>
      <c r="J24" s="66" t="s">
        <v>1186</v>
      </c>
      <c r="K24" s="72">
        <f>(1-K19-K20-K21-K23)</f>
        <v>0.78196727643189079</v>
      </c>
      <c r="O24" s="66" t="s">
        <v>589</v>
      </c>
      <c r="Q24" s="66">
        <f>2*IF(AND('Gear &amp; Buffs'!B28="Relentless Earthstorm Diamond (12agi/3%crit dam)",MID('Gear &amp; Buffs'!R26,7,1)="1",Socket!S110),1.03,1)*IF(ohtype="mace",Talents!F26/100+1,1)</f>
        <v>2</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0.49471759341564381</v>
      </c>
    </row>
    <row r="32" spans="1:21">
      <c r="J32"/>
      <c r="K32" s="897"/>
      <c r="Q32" s="68"/>
      <c r="R32" s="85"/>
    </row>
    <row r="33" spans="1:18">
      <c r="A33" s="355" t="s">
        <v>432</v>
      </c>
      <c r="B33" s="355"/>
      <c r="J33"/>
      <c r="K33" s="897"/>
      <c r="O33" s="66" t="s">
        <v>2253</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1.2477218198594817</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0.62079064399746664</v>
      </c>
    </row>
    <row r="42" spans="1:18">
      <c r="A42" s="376" t="s">
        <v>2033</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1440</v>
      </c>
      <c r="Q42" s="26">
        <f>serrb*8*70/3+435*Weapons!$H$330+'Gear &amp; Buffs'!Q143</f>
        <v>4010</v>
      </c>
    </row>
    <row r="43" spans="1:18">
      <c r="A43" s="376" t="s">
        <v>2032</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527</v>
      </c>
      <c r="Q43" s="26">
        <f>MAX(basearmor-Q42,0)</f>
        <v>3675</v>
      </c>
    </row>
    <row r="44" spans="1:18">
      <c r="A44" s="376" t="s">
        <v>2034</v>
      </c>
      <c r="B44" s="893">
        <f>IF(itBsMH,itBsEa,0)</f>
        <v>4.3333333333333335E-2</v>
      </c>
      <c r="C44" s="380">
        <f>B44*bMHthit*(bMHasec+F3+instsec+Q18+D43+D46)</f>
        <v>4.476693815376754E-2</v>
      </c>
      <c r="D44" s="381">
        <f>$B$61</f>
        <v>5.4242866381803513E-2</v>
      </c>
      <c r="G44" s="362" t="s">
        <v>2232</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6.449713414720043E-2</v>
      </c>
      <c r="J46" s="161">
        <f>IF(I46=0,0,1/I46)</f>
        <v>15.504564865125966</v>
      </c>
      <c r="K46" s="161">
        <f>$Q$18</f>
        <v>6.449713414720043E-2</v>
      </c>
      <c r="L46" s="162">
        <f>MHspd/60*H46</f>
        <v>4.3333333333333335E-2</v>
      </c>
      <c r="M46" s="364">
        <f>IF(I46=0,0,1/L46/I46)</f>
        <v>357.79765073367616</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0.13323660753904085</v>
      </c>
      <c r="D47" s="381">
        <f>$C$61</f>
        <v>0.15546286056533143</v>
      </c>
      <c r="G47" s="365" t="s">
        <v>2301</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1335</v>
      </c>
      <c r="Q47" s="651">
        <f>IF(Talents!O36="No",IF('Gear &amp; Buffs'!$B138=1,(60-IF(CharLevel&gt;60,(CharLevel-60)*2,0))*IF(time=0,1/300,totalTeaIter/time), 0),0)</f>
        <v>0.13333333333333333</v>
      </c>
      <c r="R47" s="66" t="s">
        <v>814</v>
      </c>
    </row>
    <row r="48" spans="1:18">
      <c r="A48" s="382" t="s">
        <v>1895</v>
      </c>
      <c r="B48" s="377"/>
      <c r="C48" s="377"/>
      <c r="D48" s="383">
        <f>SUM($D$42:$D$47)</f>
        <v>0.32587426015628773</v>
      </c>
      <c r="G48" s="365" t="s">
        <v>2302</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4.8876993379073939E-2</v>
      </c>
      <c r="B51" s="386">
        <f>$C$44</f>
        <v>4.476693815376754E-2</v>
      </c>
      <c r="C51" s="386">
        <f>$C$47</f>
        <v>0.13323660753904085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2232</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2233</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2300</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2302</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2232</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2301</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2302</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2303</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2232</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2301</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2232</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2301</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2232</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2301</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2232</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2302</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2923</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2998</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7" workbookViewId="0">
      <selection activeCell="AB2" sqref="AB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391"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391"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A29" sqref="AA29"/>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392"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X8" sqref="X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2481</v>
      </c>
      <c r="B7" s="116">
        <v>24114</v>
      </c>
      <c r="C7" s="116">
        <v>1</v>
      </c>
      <c r="D7" s="114"/>
      <c r="E7" s="114"/>
      <c r="F7" s="114"/>
      <c r="G7" s="116">
        <v>28</v>
      </c>
      <c r="H7" s="116">
        <v>21</v>
      </c>
      <c r="I7" s="116"/>
      <c r="J7" s="114"/>
      <c r="K7" s="116"/>
      <c r="L7" s="114"/>
      <c r="M7" s="116"/>
      <c r="N7" s="114"/>
      <c r="O7" s="116"/>
      <c r="P7" s="114"/>
      <c r="Q7" s="114" t="s">
        <v>1033</v>
      </c>
      <c r="R7" s="114"/>
      <c r="S7" s="114" t="s">
        <v>685</v>
      </c>
      <c r="T7" s="116"/>
      <c r="U7" s="890">
        <f>($D7*dpsStr+$E7*dpsAgi+$G7*dpsCrit+$H7*dpsHit+$F7*dpsAP+$I7*dpsHaste+$J7*dpsArmor+$K7*dpsExp+IF(MID($Q7,1,1)+MID($Q7,3,1)+MID($Q7,5,1)&gt;0,VLOOKUP('Gear &amp; Buffs'!$B$33,GenSocketStats,18,FALSE)+IF(MID($Q7,1,1)+MID($Q7,3,1)+MID($Q7,5,1)&gt;1,VLOOKUP('Gear &amp; Buffs'!$B$34,GenSocketStats,18,FALSE),0),0))-'Gear &amp; Buffs'!$AF$32</f>
        <v>4.300272483030767</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860</v>
      </c>
      <c r="B8" s="114">
        <v>33296</v>
      </c>
      <c r="C8" s="114">
        <v>4</v>
      </c>
      <c r="D8" s="114"/>
      <c r="E8" s="114"/>
      <c r="F8" s="114"/>
      <c r="G8" s="116"/>
      <c r="H8" s="116">
        <v>22</v>
      </c>
      <c r="I8" s="114"/>
      <c r="J8" s="114"/>
      <c r="K8" s="114">
        <v>21</v>
      </c>
      <c r="L8" s="114">
        <v>48</v>
      </c>
      <c r="M8" s="116"/>
      <c r="N8" s="127"/>
      <c r="O8" s="114"/>
      <c r="P8" s="114"/>
      <c r="Q8" s="114" t="s">
        <v>1033</v>
      </c>
      <c r="R8" s="114"/>
      <c r="S8" s="114" t="s">
        <v>691</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1108</v>
      </c>
      <c r="B9" s="114">
        <v>30059</v>
      </c>
      <c r="C9" s="114">
        <v>2</v>
      </c>
      <c r="D9" s="114"/>
      <c r="E9" s="114"/>
      <c r="F9" s="114">
        <v>64</v>
      </c>
      <c r="G9" s="116">
        <v>23</v>
      </c>
      <c r="H9" s="116"/>
      <c r="I9" s="114"/>
      <c r="J9" s="114"/>
      <c r="K9" s="114"/>
      <c r="L9" s="114">
        <v>24</v>
      </c>
      <c r="M9" s="116"/>
      <c r="N9" s="127"/>
      <c r="O9" s="114"/>
      <c r="P9" s="114"/>
      <c r="Q9" s="114" t="s">
        <v>1033</v>
      </c>
      <c r="R9" s="114"/>
      <c r="S9" s="114" t="s">
        <v>667</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1110</v>
      </c>
      <c r="B10" s="116">
        <v>32260</v>
      </c>
      <c r="C10" s="116">
        <v>3</v>
      </c>
      <c r="D10" s="114"/>
      <c r="E10" s="114"/>
      <c r="F10" s="114">
        <v>72</v>
      </c>
      <c r="G10" s="116">
        <v>27</v>
      </c>
      <c r="H10" s="116">
        <v>21</v>
      </c>
      <c r="I10" s="116"/>
      <c r="J10" s="114"/>
      <c r="K10" s="116"/>
      <c r="L10" s="114"/>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1019</v>
      </c>
      <c r="B11" s="116">
        <v>32591</v>
      </c>
      <c r="C11" s="116">
        <v>3</v>
      </c>
      <c r="D11" s="114"/>
      <c r="E11" s="114"/>
      <c r="F11" s="114">
        <v>70</v>
      </c>
      <c r="G11" s="116"/>
      <c r="H11" s="116"/>
      <c r="I11" s="116"/>
      <c r="J11" s="114">
        <v>175</v>
      </c>
      <c r="K11" s="116"/>
      <c r="L11" s="114">
        <v>37</v>
      </c>
      <c r="M11" s="116"/>
      <c r="N11" s="114"/>
      <c r="O11" s="116"/>
      <c r="P11" s="114"/>
      <c r="Q11" s="114" t="s">
        <v>1033</v>
      </c>
      <c r="R11" s="114"/>
      <c r="S11" s="114" t="s">
        <v>683</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657</v>
      </c>
      <c r="B12" s="116">
        <v>29381</v>
      </c>
      <c r="C12" s="116">
        <v>1</v>
      </c>
      <c r="D12" s="114"/>
      <c r="E12" s="114">
        <v>20</v>
      </c>
      <c r="F12" s="114">
        <v>42</v>
      </c>
      <c r="G12" s="116"/>
      <c r="H12" s="116">
        <v>18</v>
      </c>
      <c r="I12" s="116"/>
      <c r="J12" s="114"/>
      <c r="K12" s="116"/>
      <c r="L12" s="114">
        <v>18</v>
      </c>
      <c r="M12" s="116"/>
      <c r="N12" s="114"/>
      <c r="O12" s="116"/>
      <c r="P12" s="114"/>
      <c r="Q12" s="114" t="s">
        <v>1033</v>
      </c>
      <c r="R12" s="114"/>
      <c r="S12" s="114" t="s">
        <v>691</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2027</v>
      </c>
      <c r="B13" s="116">
        <v>34177</v>
      </c>
      <c r="C13" s="116">
        <v>5</v>
      </c>
      <c r="D13" s="114"/>
      <c r="E13" s="114">
        <v>25</v>
      </c>
      <c r="F13" s="114">
        <v>64</v>
      </c>
      <c r="G13" s="116"/>
      <c r="H13" s="116"/>
      <c r="I13" s="116">
        <v>30</v>
      </c>
      <c r="J13" s="114"/>
      <c r="K13" s="116"/>
      <c r="L13" s="114">
        <v>33</v>
      </c>
      <c r="M13" s="116"/>
      <c r="N13" s="114"/>
      <c r="O13" s="116"/>
      <c r="P13" s="114"/>
      <c r="Q13" s="114" t="s">
        <v>1033</v>
      </c>
      <c r="R13" s="114"/>
      <c r="S13" s="114" t="s">
        <v>871</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1020</v>
      </c>
      <c r="B14" s="116">
        <v>25562</v>
      </c>
      <c r="C14" s="116">
        <v>1</v>
      </c>
      <c r="D14" s="114"/>
      <c r="E14" s="114">
        <v>23</v>
      </c>
      <c r="F14" s="114">
        <v>20</v>
      </c>
      <c r="G14" s="116"/>
      <c r="H14" s="116">
        <v>13</v>
      </c>
      <c r="I14" s="116"/>
      <c r="J14" s="114"/>
      <c r="K14" s="116"/>
      <c r="L14" s="114"/>
      <c r="M14" s="116"/>
      <c r="N14" s="114"/>
      <c r="O14" s="116"/>
      <c r="P14" s="114"/>
      <c r="Q14" s="114" t="s">
        <v>1033</v>
      </c>
      <c r="R14" s="114"/>
      <c r="S14" s="114" t="s">
        <v>675</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1992</v>
      </c>
      <c r="B15" s="116">
        <v>35135</v>
      </c>
      <c r="C15" s="116">
        <v>5</v>
      </c>
      <c r="D15" s="114"/>
      <c r="E15" s="114"/>
      <c r="F15" s="114">
        <v>58</v>
      </c>
      <c r="G15" s="116">
        <v>26</v>
      </c>
      <c r="H15" s="116"/>
      <c r="I15" s="116"/>
      <c r="J15" s="114"/>
      <c r="K15" s="116"/>
      <c r="L15" s="114">
        <v>39</v>
      </c>
      <c r="M15" s="116"/>
      <c r="N15" s="114">
        <v>18</v>
      </c>
      <c r="O15" s="116"/>
      <c r="P15" s="114"/>
      <c r="Q15" s="114" t="s">
        <v>1043</v>
      </c>
      <c r="R15" s="114" t="s">
        <v>1338</v>
      </c>
      <c r="S15" s="114" t="s">
        <v>677</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2808</v>
      </c>
      <c r="B16" s="116">
        <v>29119</v>
      </c>
      <c r="C16" s="116">
        <v>1</v>
      </c>
      <c r="D16" s="114">
        <v>26</v>
      </c>
      <c r="E16" s="114">
        <v>25</v>
      </c>
      <c r="F16" s="114"/>
      <c r="G16" s="116"/>
      <c r="H16" s="116"/>
      <c r="I16" s="116"/>
      <c r="J16" s="114"/>
      <c r="K16" s="116"/>
      <c r="L16" s="114"/>
      <c r="M16" s="116"/>
      <c r="N16" s="114"/>
      <c r="O16" s="116"/>
      <c r="P16" s="114"/>
      <c r="Q16" s="114" t="s">
        <v>1033</v>
      </c>
      <c r="R16" s="114"/>
      <c r="S16" s="114" t="s">
        <v>676</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978</v>
      </c>
      <c r="B17" s="116">
        <v>34358</v>
      </c>
      <c r="C17" s="116">
        <v>5</v>
      </c>
      <c r="D17" s="114"/>
      <c r="E17" s="114"/>
      <c r="F17" s="114">
        <v>58</v>
      </c>
      <c r="G17" s="116"/>
      <c r="H17" s="116"/>
      <c r="I17" s="116">
        <v>29</v>
      </c>
      <c r="J17" s="114">
        <v>150</v>
      </c>
      <c r="K17" s="116"/>
      <c r="L17" s="114">
        <v>42</v>
      </c>
      <c r="M17" s="116"/>
      <c r="N17" s="114"/>
      <c r="O17" s="116"/>
      <c r="P17" s="114"/>
      <c r="Q17" s="114" t="s">
        <v>1043</v>
      </c>
      <c r="R17" s="114" t="s">
        <v>1066</v>
      </c>
      <c r="S17" s="114" t="s">
        <v>688</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2809</v>
      </c>
      <c r="B18" s="114">
        <v>28168</v>
      </c>
      <c r="C18" s="114">
        <v>1</v>
      </c>
      <c r="D18" s="114"/>
      <c r="E18" s="114"/>
      <c r="F18" s="114">
        <v>30</v>
      </c>
      <c r="G18" s="114">
        <v>15</v>
      </c>
      <c r="H18" s="114">
        <v>14</v>
      </c>
      <c r="I18" s="114"/>
      <c r="J18" s="114"/>
      <c r="K18" s="114"/>
      <c r="L18" s="114">
        <v>21</v>
      </c>
      <c r="M18" s="114"/>
      <c r="N18" s="114"/>
      <c r="O18" s="114"/>
      <c r="P18" s="114"/>
      <c r="Q18" s="114" t="s">
        <v>1033</v>
      </c>
      <c r="R18" s="114"/>
      <c r="S18" s="114" t="s">
        <v>675</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2810</v>
      </c>
      <c r="B19" s="114">
        <v>28343</v>
      </c>
      <c r="C19" s="114">
        <v>1</v>
      </c>
      <c r="D19" s="114"/>
      <c r="E19" s="114">
        <v>26</v>
      </c>
      <c r="F19" s="114">
        <v>30</v>
      </c>
      <c r="G19" s="114"/>
      <c r="H19" s="114"/>
      <c r="I19" s="114"/>
      <c r="J19" s="114"/>
      <c r="K19" s="114"/>
      <c r="L19" s="114">
        <v>15</v>
      </c>
      <c r="M19" s="114"/>
      <c r="N19" s="114"/>
      <c r="O19" s="114"/>
      <c r="P19" s="114"/>
      <c r="Q19" s="114" t="s">
        <v>1033</v>
      </c>
      <c r="R19" s="114"/>
      <c r="S19" s="114" t="s">
        <v>673</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1021</v>
      </c>
      <c r="B20" s="114">
        <v>31695</v>
      </c>
      <c r="C20" s="114">
        <v>1</v>
      </c>
      <c r="D20" s="114"/>
      <c r="E20" s="114"/>
      <c r="F20" s="114">
        <v>50</v>
      </c>
      <c r="G20" s="114">
        <v>15</v>
      </c>
      <c r="H20" s="114">
        <v>10</v>
      </c>
      <c r="I20" s="114"/>
      <c r="J20" s="114"/>
      <c r="K20" s="114"/>
      <c r="L20" s="114"/>
      <c r="M20" s="114"/>
      <c r="N20" s="114"/>
      <c r="O20" s="114"/>
      <c r="P20" s="114"/>
      <c r="Q20" s="114" t="s">
        <v>1033</v>
      </c>
      <c r="R20" s="114"/>
      <c r="S20" s="114" t="s">
        <v>675</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2811</v>
      </c>
      <c r="B21" s="114">
        <v>31275</v>
      </c>
      <c r="C21" s="114">
        <v>1</v>
      </c>
      <c r="D21" s="114">
        <v>22</v>
      </c>
      <c r="E21" s="114">
        <v>15</v>
      </c>
      <c r="F21" s="114"/>
      <c r="G21" s="114"/>
      <c r="H21" s="114">
        <v>14</v>
      </c>
      <c r="I21" s="114"/>
      <c r="J21" s="114"/>
      <c r="K21" s="114"/>
      <c r="L21" s="114"/>
      <c r="M21" s="114"/>
      <c r="N21" s="114"/>
      <c r="O21" s="114"/>
      <c r="P21" s="114"/>
      <c r="Q21" s="114" t="s">
        <v>1033</v>
      </c>
      <c r="R21" s="114"/>
      <c r="S21" s="114" t="s">
        <v>674</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2484</v>
      </c>
      <c r="B22" s="116">
        <v>28244</v>
      </c>
      <c r="C22" s="116">
        <v>1</v>
      </c>
      <c r="D22" s="114"/>
      <c r="E22" s="114"/>
      <c r="F22" s="114">
        <v>36</v>
      </c>
      <c r="G22" s="116">
        <v>10</v>
      </c>
      <c r="H22" s="116"/>
      <c r="I22" s="116"/>
      <c r="J22" s="114"/>
      <c r="K22" s="116"/>
      <c r="L22" s="114">
        <v>27</v>
      </c>
      <c r="M22" s="116"/>
      <c r="N22" s="114">
        <v>17</v>
      </c>
      <c r="O22" s="116"/>
      <c r="P22" s="114"/>
      <c r="Q22" s="114" t="s">
        <v>1043</v>
      </c>
      <c r="R22" s="114" t="s">
        <v>1022</v>
      </c>
      <c r="S22" s="114" t="s">
        <v>677</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1023</v>
      </c>
      <c r="B23" s="116">
        <v>19377</v>
      </c>
      <c r="C23" s="116">
        <v>1</v>
      </c>
      <c r="D23" s="114"/>
      <c r="E23" s="114">
        <v>25</v>
      </c>
      <c r="F23" s="114">
        <v>22</v>
      </c>
      <c r="G23" s="116"/>
      <c r="H23" s="116">
        <v>10</v>
      </c>
      <c r="I23" s="116"/>
      <c r="J23" s="114"/>
      <c r="K23" s="116"/>
      <c r="L23" s="114"/>
      <c r="M23" s="116"/>
      <c r="N23" s="114"/>
      <c r="O23" s="116"/>
      <c r="P23" s="114"/>
      <c r="Q23" s="114" t="s">
        <v>1033</v>
      </c>
      <c r="R23" s="114"/>
      <c r="S23" s="114" t="s">
        <v>668</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2485</v>
      </c>
      <c r="B24" s="116">
        <v>28674</v>
      </c>
      <c r="C24" s="116">
        <v>1</v>
      </c>
      <c r="D24" s="114"/>
      <c r="E24" s="114">
        <v>21</v>
      </c>
      <c r="F24" s="114">
        <v>46</v>
      </c>
      <c r="G24" s="116"/>
      <c r="H24" s="116"/>
      <c r="I24" s="116"/>
      <c r="J24" s="114"/>
      <c r="K24" s="116"/>
      <c r="L24" s="114">
        <v>33</v>
      </c>
      <c r="M24" s="116"/>
      <c r="N24" s="114"/>
      <c r="O24" s="116"/>
      <c r="P24" s="114"/>
      <c r="Q24" s="114" t="s">
        <v>1033</v>
      </c>
      <c r="R24" s="114"/>
      <c r="S24" s="114" t="s">
        <v>672</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2029</v>
      </c>
      <c r="B25" s="116">
        <v>34679</v>
      </c>
      <c r="C25" s="116">
        <v>5</v>
      </c>
      <c r="D25" s="114"/>
      <c r="E25" s="114">
        <v>18</v>
      </c>
      <c r="F25" s="124">
        <f>64+200*itSSPMAup</f>
        <v>105.74299188471673</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2030</v>
      </c>
      <c r="B26" s="116">
        <v>34679</v>
      </c>
      <c r="C26" s="116">
        <v>5</v>
      </c>
      <c r="D26" s="114"/>
      <c r="E26" s="114">
        <v>18</v>
      </c>
      <c r="F26" s="114">
        <v>64</v>
      </c>
      <c r="G26" s="116"/>
      <c r="H26" s="116"/>
      <c r="I26" s="116"/>
      <c r="J26" s="114"/>
      <c r="K26" s="116"/>
      <c r="L26" s="114">
        <v>19</v>
      </c>
      <c r="M26" s="116"/>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2486</v>
      </c>
      <c r="B27" s="116">
        <v>34680</v>
      </c>
      <c r="C27" s="116">
        <v>5</v>
      </c>
      <c r="D27" s="114"/>
      <c r="E27" s="114"/>
      <c r="F27" s="114"/>
      <c r="G27" s="116"/>
      <c r="H27" s="116">
        <v>13</v>
      </c>
      <c r="I27" s="116"/>
      <c r="J27" s="114"/>
      <c r="K27" s="116">
        <v>18</v>
      </c>
      <c r="L27" s="114">
        <v>48</v>
      </c>
      <c r="M27" s="124">
        <f>100*itSSPRAup</f>
        <v>20.871495942358369</v>
      </c>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2031</v>
      </c>
      <c r="B28" s="116">
        <v>34680</v>
      </c>
      <c r="C28" s="116">
        <v>5</v>
      </c>
      <c r="D28" s="114"/>
      <c r="E28" s="114"/>
      <c r="F28" s="114"/>
      <c r="G28" s="116"/>
      <c r="H28" s="116">
        <v>13</v>
      </c>
      <c r="I28" s="116"/>
      <c r="J28" s="114"/>
      <c r="K28" s="124">
        <f>18+100*itSSPRSup</f>
        <v>38.871495942358365</v>
      </c>
      <c r="L28" s="114">
        <v>48</v>
      </c>
      <c r="M28" s="116"/>
      <c r="N28" s="114"/>
      <c r="O28" s="116"/>
      <c r="P28" s="114"/>
      <c r="Q28" s="114" t="s">
        <v>1033</v>
      </c>
      <c r="R28" s="114"/>
      <c r="S28" s="114" t="s">
        <v>676</v>
      </c>
      <c r="T28" s="116" t="s">
        <v>977</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2337</v>
      </c>
      <c r="B29" s="116">
        <v>35292</v>
      </c>
      <c r="C29" s="116">
        <v>5</v>
      </c>
      <c r="D29" s="114"/>
      <c r="E29" s="114"/>
      <c r="F29" s="114">
        <v>58</v>
      </c>
      <c r="G29" s="116">
        <v>28</v>
      </c>
      <c r="H29" s="116"/>
      <c r="I29" s="116"/>
      <c r="J29" s="114"/>
      <c r="K29" s="116"/>
      <c r="L29" s="114">
        <v>18</v>
      </c>
      <c r="M29" s="116"/>
      <c r="N29" s="114">
        <v>19</v>
      </c>
      <c r="O29" s="116"/>
      <c r="P29" s="114"/>
      <c r="Q29" s="114" t="s">
        <v>1039</v>
      </c>
      <c r="R29" s="114" t="s">
        <v>1066</v>
      </c>
      <c r="S29" s="114" t="s">
        <v>871</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2487</v>
      </c>
      <c r="B30" s="114">
        <v>29335</v>
      </c>
      <c r="C30" s="114">
        <v>1</v>
      </c>
      <c r="D30" s="114"/>
      <c r="E30" s="114"/>
      <c r="F30" s="114">
        <v>38</v>
      </c>
      <c r="G30" s="114"/>
      <c r="H30" s="114">
        <v>21</v>
      </c>
      <c r="I30" s="114"/>
      <c r="J30" s="114"/>
      <c r="K30" s="114"/>
      <c r="L30" s="114">
        <v>19</v>
      </c>
      <c r="M30" s="114"/>
      <c r="N30" s="114"/>
      <c r="O30" s="114"/>
      <c r="P30" s="114"/>
      <c r="Q30" s="114" t="s">
        <v>1033</v>
      </c>
      <c r="R30" s="114"/>
      <c r="S30" s="114" t="s">
        <v>675</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690</v>
      </c>
      <c r="B31" s="116">
        <v>30017</v>
      </c>
      <c r="C31" s="116">
        <v>2</v>
      </c>
      <c r="D31" s="114"/>
      <c r="E31" s="114">
        <v>27</v>
      </c>
      <c r="F31" s="114">
        <v>70</v>
      </c>
      <c r="G31" s="116"/>
      <c r="H31" s="116"/>
      <c r="I31" s="116"/>
      <c r="J31" s="114"/>
      <c r="K31" s="116"/>
      <c r="L31" s="114">
        <v>26</v>
      </c>
      <c r="M31" s="116"/>
      <c r="N31" s="114"/>
      <c r="O31" s="116"/>
      <c r="P31" s="114"/>
      <c r="Q31" s="114" t="s">
        <v>1033</v>
      </c>
      <c r="R31" s="114"/>
      <c r="S31" s="114" t="s">
        <v>680</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1033</v>
      </c>
      <c r="R32" s="114"/>
      <c r="S32" s="114" t="s">
        <v>664</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2488</v>
      </c>
      <c r="B33" s="114">
        <v>27546</v>
      </c>
      <c r="C33" s="114">
        <v>1</v>
      </c>
      <c r="D33" s="114"/>
      <c r="E33" s="114"/>
      <c r="F33" s="114">
        <v>38</v>
      </c>
      <c r="G33" s="114">
        <v>18</v>
      </c>
      <c r="H33" s="114">
        <v>12</v>
      </c>
      <c r="I33" s="114"/>
      <c r="J33" s="114"/>
      <c r="K33" s="114"/>
      <c r="L33" s="114">
        <v>18</v>
      </c>
      <c r="M33" s="114"/>
      <c r="N33" s="114"/>
      <c r="O33" s="114"/>
      <c r="P33" s="114"/>
      <c r="Q33" s="114" t="s">
        <v>1033</v>
      </c>
      <c r="R33" s="114"/>
      <c r="S33" s="114" t="s">
        <v>691</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2489</v>
      </c>
      <c r="B34" s="116">
        <v>33066</v>
      </c>
      <c r="C34" s="116">
        <v>2</v>
      </c>
      <c r="D34" s="114"/>
      <c r="E34" s="114"/>
      <c r="F34" s="114">
        <v>42</v>
      </c>
      <c r="G34" s="116">
        <v>18</v>
      </c>
      <c r="H34" s="116"/>
      <c r="I34" s="116"/>
      <c r="J34" s="114"/>
      <c r="K34" s="116"/>
      <c r="L34" s="114">
        <v>31</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1043</v>
      </c>
      <c r="R35" s="114" t="s">
        <v>1338</v>
      </c>
      <c r="S35" s="114" t="s">
        <v>677</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1339</v>
      </c>
      <c r="B36" s="114">
        <v>28509</v>
      </c>
      <c r="C36" s="114">
        <v>1</v>
      </c>
      <c r="D36" s="114"/>
      <c r="E36" s="114">
        <v>20</v>
      </c>
      <c r="F36" s="114">
        <v>42</v>
      </c>
      <c r="G36" s="116"/>
      <c r="H36" s="116">
        <v>17</v>
      </c>
      <c r="I36" s="114"/>
      <c r="J36" s="114"/>
      <c r="K36" s="114"/>
      <c r="L36" s="114">
        <v>21</v>
      </c>
      <c r="M36" s="116"/>
      <c r="N36" s="127"/>
      <c r="O36" s="114"/>
      <c r="P36" s="114"/>
      <c r="Q36" s="114" t="s">
        <v>1033</v>
      </c>
      <c r="R36" s="114"/>
      <c r="S36" s="114" t="s">
        <v>672</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2207</v>
      </c>
      <c r="B38" s="113"/>
      <c r="C38" s="113"/>
      <c r="D38" s="112"/>
      <c r="E38" s="112"/>
      <c r="F38" s="112"/>
      <c r="G38" s="113"/>
      <c r="H38" s="113"/>
      <c r="I38" s="113"/>
      <c r="J38" s="114"/>
      <c r="K38" s="113"/>
      <c r="L38" s="112"/>
      <c r="M38" s="113"/>
      <c r="N38" s="112"/>
      <c r="O38" s="113"/>
      <c r="P38" s="113"/>
      <c r="Q38" s="114" t="s">
        <v>1033</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X36" sqref="X36"/>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5" priority="1" stopIfTrue="1" operator="lessThan">
      <formula>0</formula>
    </cfRule>
    <cfRule type="cellIs" dxfId="44" priority="2" stopIfTrue="1" operator="greaterThan">
      <formula>0</formula>
    </cfRule>
  </conditionalFormatting>
  <conditionalFormatting sqref="U2:U30">
    <cfRule type="cellIs" dxfId="43" priority="3" stopIfTrue="1" operator="lessThan">
      <formula>0</formula>
    </cfRule>
    <cfRule type="cellIs" dxfId="42"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topLeftCell="A13" workbookViewId="0">
      <selection activeCell="X42" sqref="X42"/>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1616</v>
      </c>
      <c r="B25" s="677">
        <v>28371</v>
      </c>
      <c r="C25" s="677">
        <v>1</v>
      </c>
      <c r="D25" s="677">
        <v>19</v>
      </c>
      <c r="E25" s="677">
        <v>19</v>
      </c>
      <c r="F25" s="677"/>
      <c r="G25" s="677">
        <v>21</v>
      </c>
      <c r="H25" s="677"/>
      <c r="I25" s="677"/>
      <c r="J25" s="677"/>
      <c r="K25" s="677"/>
      <c r="L25" s="677"/>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41" priority="3" stopIfTrue="1" operator="lessThan">
      <formula>0</formula>
    </cfRule>
    <cfRule type="cellIs" dxfId="40" priority="4" stopIfTrue="1" operator="greaterThan">
      <formula>0</formula>
    </cfRule>
  </conditionalFormatting>
  <conditionalFormatting sqref="U41:U45">
    <cfRule type="cellIs" dxfId="39" priority="1" stopIfTrue="1" operator="lessThan">
      <formula>0</formula>
    </cfRule>
    <cfRule type="cellIs" dxfId="3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X41" sqref="X4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691</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7" priority="3" stopIfTrue="1" operator="lessThan">
      <formula>0</formula>
    </cfRule>
    <cfRule type="cellIs" dxfId="36" priority="4" stopIfTrue="1" operator="greaterThan">
      <formula>0</formula>
    </cfRule>
  </conditionalFormatting>
  <conditionalFormatting sqref="U40:U45">
    <cfRule type="cellIs" dxfId="35" priority="1" stopIfTrue="1" operator="lessThan">
      <formula>0</formula>
    </cfRule>
    <cfRule type="cellIs" dxfId="3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34" sqref="AD34"/>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392"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3" priority="3" stopIfTrue="1" operator="lessThan">
      <formula>0</formula>
    </cfRule>
    <cfRule type="cellIs" dxfId="32" priority="4" stopIfTrue="1" operator="greaterThan">
      <formula>0</formula>
    </cfRule>
  </conditionalFormatting>
  <conditionalFormatting sqref="Z33:Z37">
    <cfRule type="cellIs" dxfId="31" priority="1" stopIfTrue="1" operator="lessThan">
      <formula>0</formula>
    </cfRule>
    <cfRule type="cellIs" dxfId="3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X42" sqref="X42"/>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9" priority="3" stopIfTrue="1" operator="lessThan">
      <formula>0</formula>
    </cfRule>
    <cfRule type="cellIs" dxfId="28" priority="4" stopIfTrue="1" operator="greaterThan">
      <formula>0</formula>
    </cfRule>
  </conditionalFormatting>
  <conditionalFormatting sqref="U41:U44">
    <cfRule type="cellIs" dxfId="27" priority="1" stopIfTrue="1" operator="lessThan">
      <formula>0</formula>
    </cfRule>
    <cfRule type="cellIs" dxfId="2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X3" sqref="X3"/>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3"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6" workbookViewId="0">
      <selection activeCell="X42" sqref="X42"/>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3" priority="3" stopIfTrue="1" operator="lessThan">
      <formula>0</formula>
    </cfRule>
    <cfRule type="cellIs" dxfId="22" priority="4" stopIfTrue="1" operator="greaterThan">
      <formula>0</formula>
    </cfRule>
  </conditionalFormatting>
  <conditionalFormatting sqref="U41:U47">
    <cfRule type="cellIs" dxfId="21" priority="1" stopIfTrue="1" operator="lessThan">
      <formula>0</formula>
    </cfRule>
    <cfRule type="cellIs" dxfId="2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X38" sqref="X38"/>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2"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9" priority="3" stopIfTrue="1" operator="lessThan">
      <formula>0</formula>
    </cfRule>
    <cfRule type="cellIs" dxfId="18" priority="4" stopIfTrue="1" operator="greaterThan">
      <formula>0</formula>
    </cfRule>
  </conditionalFormatting>
  <conditionalFormatting sqref="U37:U43">
    <cfRule type="cellIs" dxfId="17" priority="1" stopIfTrue="1" operator="lessThan">
      <formula>0</formula>
    </cfRule>
    <cfRule type="cellIs" dxfId="1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43" workbookViewId="0">
      <selection activeCell="Y62" sqref="Y62"/>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393"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1921</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679</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5" priority="1" stopIfTrue="1" operator="lessThan">
      <formula>0</formula>
    </cfRule>
    <cfRule type="cellIs" dxfId="14" priority="2" stopIfTrue="1" operator="greaterThan">
      <formula>0</formula>
    </cfRule>
  </conditionalFormatting>
  <conditionalFormatting sqref="V2:V57">
    <cfRule type="cellIs" dxfId="13" priority="5" stopIfTrue="1" operator="lessThan">
      <formula>0</formula>
    </cfRule>
    <cfRule type="cellIs" dxfId="12" priority="6" stopIfTrue="1" operator="greaterThan">
      <formula>0</formula>
    </cfRule>
  </conditionalFormatting>
  <conditionalFormatting sqref="U2:U57">
    <cfRule type="cellIs" dxfId="11" priority="3" stopIfTrue="1" operator="lessThan">
      <formula>0</formula>
    </cfRule>
    <cfRule type="cellIs" dxfId="1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13"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392"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2851</v>
      </c>
      <c r="AG5" s="853">
        <f>Optimize!C54</f>
        <v>0.333563410569305</v>
      </c>
      <c r="AH5" s="853">
        <f>IF(AI5*AG5&gt;0, AI5*AG5, 1)</f>
        <v>22.907733167137973</v>
      </c>
      <c r="AI5" s="853">
        <f>Optimize!C55</f>
        <v>68.675797288559011</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2857</v>
      </c>
      <c r="AF7" s="854">
        <f>30/BotSprocs</f>
        <v>1.3096014250347632</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1274</v>
      </c>
      <c r="AF8" s="854">
        <f>30/(1+BotSprocs/(1-EXP(-BotSprocs)))</f>
        <v>1.2548241101335842</v>
      </c>
      <c r="AG8" s="854">
        <f>(1-EXP(-$AI$5*BotSrate))</f>
        <v>0.99999999988746235</v>
      </c>
      <c r="AH8" s="854">
        <v>30</v>
      </c>
      <c r="AI8" s="854">
        <f>AG7-AG8</f>
        <v>1.1253764586882653E-10</v>
      </c>
      <c r="AJ8" s="851">
        <v>1</v>
      </c>
    </row>
    <row r="9" spans="1:36" ht="12" customHeight="1">
      <c r="A9" s="10" t="s">
        <v>990</v>
      </c>
      <c r="B9" s="116">
        <v>34427</v>
      </c>
      <c r="C9" s="116">
        <v>5</v>
      </c>
      <c r="D9" s="114"/>
      <c r="E9" s="114"/>
      <c r="F9" s="115">
        <f>Optimize!C28*Optimize!C29</f>
        <v>161.80427385670831</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1277</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1280</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1282</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1284</v>
      </c>
      <c r="AF12" s="854">
        <f>30/(1+BotSprocs/(1-EXP(-BotSprocs)))</f>
        <v>1.2548241101335842</v>
      </c>
      <c r="AG12" s="854">
        <f>(1-EXP(-$AI$5*BotSrate))^5</f>
        <v>0.99999999943731177</v>
      </c>
      <c r="AH12" s="854">
        <v>30</v>
      </c>
      <c r="AI12" s="854">
        <f>AG11-AG12</f>
        <v>1.1253764586882653E-10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2858</v>
      </c>
      <c r="AF13" s="854">
        <f>MIN(AF12/EXP(-AI5*BotSrate),IF(time=0,30,MIN(30,time))-SUMPRODUCT(AF7:AF12,AG7:AG12))</f>
        <v>22.41627802641554</v>
      </c>
      <c r="AG13" s="854">
        <f>(1-EXP(-$AI$5*BotSrate))^6</f>
        <v>0.99999999932477412</v>
      </c>
      <c r="AH13" s="854">
        <v>0</v>
      </c>
      <c r="AI13" s="854">
        <v>0</v>
      </c>
      <c r="AJ13" s="851">
        <v>6</v>
      </c>
    </row>
    <row r="14" spans="1:36" ht="12" customHeight="1">
      <c r="A14" s="126" t="s">
        <v>1657</v>
      </c>
      <c r="B14" s="116">
        <v>31856</v>
      </c>
      <c r="C14" s="116">
        <v>2</v>
      </c>
      <c r="D14" s="114"/>
      <c r="E14" s="114"/>
      <c r="F14" s="115">
        <f>itDMCCap</f>
        <v>118.4416357640376</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1938</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916</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917</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991</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1940</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9" priority="5" stopIfTrue="1" operator="lessThan">
      <formula>0</formula>
    </cfRule>
    <cfRule type="cellIs" dxfId="8" priority="6" stopIfTrue="1" operator="greaterThan">
      <formula>0</formula>
    </cfRule>
  </conditionalFormatting>
  <conditionalFormatting sqref="X24:Y24">
    <cfRule type="cellIs" dxfId="7" priority="3" stopIfTrue="1" operator="lessThan">
      <formula>0</formula>
    </cfRule>
    <cfRule type="cellIs" dxfId="6" priority="4" stopIfTrue="1" operator="greaterThan">
      <formula>0</formula>
    </cfRule>
  </conditionalFormatting>
  <conditionalFormatting sqref="X21:Y21">
    <cfRule type="cellIs" dxfId="5" priority="1" stopIfTrue="1" operator="lessThan">
      <formula>0</formula>
    </cfRule>
    <cfRule type="cellIs" dxfId="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3"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P1" workbookViewId="0">
      <pane ySplit="1" topLeftCell="A266"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115.93943875030718</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0.21367206909674702</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28.681209546617719</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56.681503389039065</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91.033929685426372</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29.316671505647875</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topLeftCell="A7" zoomScaleNormal="100" workbookViewId="0">
      <selection activeCell="T50" sqref="T50"/>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t="str">
        <f>" "</f>
        <v xml:space="preserve"> </v>
      </c>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34.141769280403672</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477.98476992565134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68.283538560807344</v>
      </c>
      <c r="E11" s="21"/>
      <c r="F11" s="21"/>
      <c r="G11" s="21"/>
      <c r="H11" s="21"/>
      <c r="I11" s="21"/>
      <c r="J11" s="789">
        <f>2*hasterate*enMnMHup</f>
        <v>17.946314621750645</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0.21803272356810921</v>
      </c>
      <c r="X16" s="145"/>
      <c r="Y16" s="48"/>
      <c r="Z16" s="48"/>
      <c r="AA16" s="48"/>
      <c r="AB16" s="795" t="s">
        <v>1644</v>
      </c>
      <c r="AC16" s="796">
        <f>IF(AC13*AC15&gt;0,AC13*AC15,1)</f>
        <v>3.3885270245043211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t="str">
        <f>" "</f>
        <v xml:space="preserve"> </v>
      </c>
      <c r="U17" s="124"/>
      <c r="V17" s="6" t="s">
        <v>1186</v>
      </c>
      <c r="W17" s="145">
        <f>bMHhit</f>
        <v>0.52152825204164688</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0.15546286056533143</v>
      </c>
      <c r="X20" s="1346">
        <f>SUM('Damage Calc'!F5:F7)*bfWFea</f>
        <v>0.1799805356381228</v>
      </c>
      <c r="Y20" s="1346">
        <f>instsec*bfWFea</f>
        <v>4.8202592154695446E-2</v>
      </c>
      <c r="Z20" s="48" t="s">
        <v>95</v>
      </c>
      <c r="AA20" s="48"/>
      <c r="AB20" s="148" t="s">
        <v>1652</v>
      </c>
      <c r="AC20" s="6">
        <f>12/AC16</f>
        <v>3.5413617519415768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1274</v>
      </c>
      <c r="AC21" s="6">
        <f>12/(1+AC16/(1-EXP(-AC16)))</f>
        <v>2.6625753332832076</v>
      </c>
      <c r="AD21" s="48">
        <f>1-EXP(-AC13*AC15)</f>
        <v>0.96624163445927125</v>
      </c>
      <c r="AE21" s="6">
        <v>12</v>
      </c>
      <c r="AF21" s="6">
        <f>AD20-AD21</f>
        <v>3.3758365540728752E-2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27.42962575839146</v>
      </c>
      <c r="X22" s="48" t="s">
        <v>3109</v>
      </c>
      <c r="Y22" s="48"/>
      <c r="Z22" s="48"/>
      <c r="AA22" s="48"/>
      <c r="AB22" s="131" t="s">
        <v>1277</v>
      </c>
      <c r="AC22" s="6">
        <f>12/(1+AC16/(1-EXP(-AC16)))</f>
        <v>2.6625753332832076</v>
      </c>
      <c r="AD22" s="48">
        <f>(1-EXP(-AC13*AC15))^2</f>
        <v>0.93362289616252392</v>
      </c>
      <c r="AE22" s="6">
        <v>12</v>
      </c>
      <c r="AF22" s="6">
        <f>AD21-AD22</f>
        <v>3.2618738296747329E-2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2.6625753332832076</v>
      </c>
      <c r="AD23" s="48">
        <f>(1-EXP(-AC13*AC15))^3</f>
        <v>0.90210531315667564</v>
      </c>
      <c r="AE23" s="6">
        <v>12</v>
      </c>
      <c r="AF23" s="6">
        <f>AD22-AD23</f>
        <v>3.1517583005848282E-2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2.6625753332832076</v>
      </c>
      <c r="AD24" s="48">
        <f>(1-EXP(-AC13*AC15))^4</f>
        <v>0.87165171223889892</v>
      </c>
      <c r="AE24" s="6">
        <v>12</v>
      </c>
      <c r="AF24" s="6">
        <f>AD23-AD24</f>
        <v>3.0453600917776713E-2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78.871571257526384</v>
      </c>
      <c r="AD25" s="48">
        <f>(1-EXP(-AC13*AC15))^5</f>
        <v>0.84222617511293607</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t="str">
        <f>" "</f>
        <v xml:space="preserve"> </v>
      </c>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18.838020792706988</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263.73229109789787</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37.676041585413977</v>
      </c>
      <c r="E43" s="21"/>
      <c r="F43" s="21"/>
      <c r="G43" s="21"/>
      <c r="H43" s="21"/>
      <c r="I43" s="21"/>
      <c r="J43" s="789">
        <f>2*hasterate*enMnOHup</f>
        <v>9.9020365705254676</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t="str">
        <f>" "</f>
        <v xml:space="preserve"> </v>
      </c>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295</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539</vt:i4>
      </vt:variant>
    </vt:vector>
  </HeadingPairs>
  <TitlesOfParts>
    <vt:vector size="576"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2021-06-07T10:30:30Z</dcterms:modified>
</cp:coreProperties>
</file>