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9199C277-EEF7-44A7-9F49-8D937F21BF59}"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73" l="1"/>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U58" i="70" l="1"/>
  <c r="Z58" i="70" s="1"/>
  <c r="Y57" i="70"/>
  <c r="AA57" i="70"/>
  <c r="Y58" i="70" l="1"/>
  <c r="AA58" i="70"/>
  <c r="U59" i="70"/>
  <c r="Z59" i="70" s="1"/>
  <c r="U60" i="70" l="1"/>
  <c r="Z60" i="70" s="1"/>
  <c r="Y59" i="70"/>
  <c r="AA59" i="70"/>
  <c r="Y60" i="70" l="1"/>
  <c r="AA60" i="70"/>
  <c r="U61" i="70"/>
  <c r="Z61" i="70" s="1"/>
  <c r="Y61" i="70" l="1"/>
  <c r="AA61" i="70"/>
  <c r="U62" i="70"/>
  <c r="Z62" i="70" s="1"/>
  <c r="Y62" i="70" l="1"/>
  <c r="AA62" i="70"/>
  <c r="U63" i="70"/>
  <c r="Z63" i="70" s="1"/>
  <c r="U64" i="70" l="1"/>
  <c r="Z64" i="70" s="1"/>
  <c r="AA63" i="70"/>
  <c r="Y63" i="70"/>
  <c r="U65" i="70"/>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7" authorId="0" shapeId="0" xr:uid="{00000000-0006-0000-0100-000001000000}">
      <text>
        <r>
          <rPr>
            <b/>
            <sz val="8"/>
            <color indexed="81"/>
            <rFont val="Tahoma"/>
            <family val="2"/>
          </rPr>
          <t>Author:</t>
        </r>
        <r>
          <rPr>
            <sz val="8"/>
            <color indexed="81"/>
            <rFont val="Tahoma"/>
            <family val="2"/>
          </rPr>
          <t xml:space="preserve">
fixed
a small Mongoose bug</t>
        </r>
      </text>
    </comment>
    <comment ref="A588"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9"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0"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1"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2"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3"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4"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5"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6"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7"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8"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9"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0"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1"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2"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3"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4"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5"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6"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7"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8"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9"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0"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1"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2"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3"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4"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5"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6"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7"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8"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9"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0"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1"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2"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3"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4"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5"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6"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7"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8"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9"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0"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1"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2"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3"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4"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5"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6"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7"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8"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9"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0"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1"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2"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3"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4"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<sst xmlns="http://schemas.openxmlformats.org/spreadsheetml/2006/main" count="8578" uniqueCount="3279">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</sst>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4"/>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A9" s="9" t="s">
        <v>1856</v>
      </c>
      <c r="B9" s="9" t="s">
        <v>3244</v>
      </c>
    </row>
    <row r="10" spans="1:2">
      <c r="B10" s="9" t="s">
        <v>3250</v>
      </c>
    </row>
    <row r="11" spans="1:2">
      <c r="B11" s="9" t="s">
        <v>3278</v>
      </c>
    </row>
    <row r="12" spans="1:2">
      <c r="B12" s="9" t="s">
        <v>3275</v>
      </c>
    </row>
    <row r="13" spans="1:2">
      <c r="B13" s="9" t="s">
        <v>3251</v>
      </c>
    </row>
    <row r="14" spans="1:2">
      <c r="B14" s="9" t="s">
        <v>3248</v>
      </c>
    </row>
    <row r="15" spans="1:2">
      <c r="B15" s="9" t="s">
        <v>3252</v>
      </c>
    </row>
    <row r="16" spans="1:2">
      <c r="B16" s="9" t="s">
        <v>3277</v>
      </c>
    </row>
    <row r="18" spans="1:2">
      <c r="A18" s="9" t="s">
        <v>3202</v>
      </c>
      <c r="B18" s="9" t="s">
        <v>2329</v>
      </c>
    </row>
    <row r="19" spans="1:2">
      <c r="A19" s="9" t="s">
        <v>2214</v>
      </c>
      <c r="B19" s="9" t="s">
        <v>3006</v>
      </c>
    </row>
    <row r="20" spans="1:2">
      <c r="B20" s="9" t="s">
        <v>3005</v>
      </c>
    </row>
    <row r="21" spans="1:2">
      <c r="B21" s="48" t="s">
        <v>2405</v>
      </c>
    </row>
    <row r="22" spans="1:2">
      <c r="B22" s="650" t="s">
        <v>2410</v>
      </c>
    </row>
    <row r="23" spans="1:2">
      <c r="B23" s="650" t="s">
        <v>2988</v>
      </c>
    </row>
    <row r="24" spans="1:2">
      <c r="B24" s="650" t="s">
        <v>2859</v>
      </c>
    </row>
    <row r="25" spans="1:2">
      <c r="B25" s="650" t="s">
        <v>3020</v>
      </c>
    </row>
    <row r="26" spans="1:2">
      <c r="B26" s="650" t="s">
        <v>3035</v>
      </c>
    </row>
    <row r="27" spans="1:2">
      <c r="A27" s="2"/>
      <c r="B27" s="650" t="s">
        <v>2866</v>
      </c>
    </row>
    <row r="28" spans="1:2">
      <c r="A28" s="2"/>
      <c r="B28" s="650" t="s">
        <v>3036</v>
      </c>
    </row>
    <row r="29" spans="1:2">
      <c r="B29" s="650" t="s">
        <v>2885</v>
      </c>
    </row>
    <row r="30" spans="1:2">
      <c r="A30" s="9" t="s">
        <v>1583</v>
      </c>
      <c r="B30" s="9" t="s">
        <v>2330</v>
      </c>
    </row>
    <row r="31" spans="1:2">
      <c r="B31" s="9" t="s">
        <v>2406</v>
      </c>
    </row>
    <row r="32" spans="1:2">
      <c r="B32" s="9" t="s">
        <v>2422</v>
      </c>
    </row>
    <row r="33" spans="1:2">
      <c r="B33" s="9" t="s">
        <v>2860</v>
      </c>
    </row>
    <row r="34" spans="1:2">
      <c r="B34" s="9" t="s">
        <v>2876</v>
      </c>
    </row>
    <row r="35" spans="1:2">
      <c r="B35" s="9" t="s">
        <v>2879</v>
      </c>
    </row>
    <row r="36" spans="1:2">
      <c r="B36" s="9" t="s">
        <v>2984</v>
      </c>
    </row>
    <row r="37" spans="1:2">
      <c r="B37" s="9" t="s">
        <v>2985</v>
      </c>
    </row>
    <row r="38" spans="1:2">
      <c r="B38" s="9" t="s">
        <v>3015</v>
      </c>
    </row>
    <row r="39" spans="1:2">
      <c r="B39" s="9" t="s">
        <v>3016</v>
      </c>
    </row>
    <row r="40" spans="1:2">
      <c r="B40" s="9" t="s">
        <v>3017</v>
      </c>
    </row>
    <row r="41" spans="1:2">
      <c r="B41" s="9" t="s">
        <v>2986</v>
      </c>
    </row>
    <row r="42" spans="1:2">
      <c r="A42" s="9" t="s">
        <v>1856</v>
      </c>
      <c r="B42" s="9" t="s">
        <v>2987</v>
      </c>
    </row>
    <row r="43" spans="1:2">
      <c r="B43" s="9" t="s">
        <v>2864</v>
      </c>
    </row>
    <row r="44" spans="1:2">
      <c r="A44" s="9" t="s">
        <v>2070</v>
      </c>
      <c r="B44" s="9" t="s">
        <v>2332</v>
      </c>
    </row>
    <row r="45" spans="1:2">
      <c r="B45" s="9" t="s">
        <v>2421</v>
      </c>
    </row>
    <row r="47" spans="1:2">
      <c r="A47" s="9" t="s">
        <v>1850</v>
      </c>
    </row>
    <row r="48" spans="1:2">
      <c r="A48" s="9" t="s">
        <v>2331</v>
      </c>
    </row>
    <row r="49" spans="1:2">
      <c r="A49" s="9" t="s">
        <v>311</v>
      </c>
      <c r="B49" s="9" t="s">
        <v>2040</v>
      </c>
    </row>
    <row r="50" spans="1:2">
      <c r="A50" s="9" t="s">
        <v>2214</v>
      </c>
      <c r="B50" s="9" t="s">
        <v>1442</v>
      </c>
    </row>
    <row r="51" spans="1:2">
      <c r="B51" s="9" t="s">
        <v>1441</v>
      </c>
    </row>
    <row r="52" spans="1:2">
      <c r="B52" s="9" t="s">
        <v>65</v>
      </c>
    </row>
    <row r="53" spans="1:2">
      <c r="B53" s="9" t="s">
        <v>62</v>
      </c>
    </row>
    <row r="54" spans="1:2">
      <c r="B54" s="9" t="s">
        <v>60</v>
      </c>
    </row>
    <row r="55" spans="1:2">
      <c r="B55" s="9" t="s">
        <v>61</v>
      </c>
    </row>
    <row r="56" spans="1:2">
      <c r="B56" s="9" t="s">
        <v>64</v>
      </c>
    </row>
    <row r="57" spans="1:2">
      <c r="B57" s="9" t="s">
        <v>1729</v>
      </c>
    </row>
    <row r="58" spans="1:2">
      <c r="B58" s="9" t="s">
        <v>69</v>
      </c>
    </row>
    <row r="59" spans="1:2">
      <c r="B59" s="2" t="s">
        <v>2162</v>
      </c>
    </row>
    <row r="60" spans="1:2">
      <c r="B60" s="2" t="s">
        <v>2163</v>
      </c>
    </row>
    <row r="61" spans="1:2">
      <c r="B61" s="2" t="s">
        <v>67</v>
      </c>
    </row>
    <row r="62" spans="1:2">
      <c r="B62" s="9" t="s">
        <v>68</v>
      </c>
    </row>
    <row r="63" spans="1:2">
      <c r="B63" s="9" t="s">
        <v>1728</v>
      </c>
    </row>
    <row r="64" spans="1:2">
      <c r="B64" s="9" t="s">
        <v>73</v>
      </c>
    </row>
    <row r="65" spans="1:2">
      <c r="B65" s="9" t="s">
        <v>2164</v>
      </c>
    </row>
    <row r="66" spans="1:2">
      <c r="B66" s="9" t="s">
        <v>70</v>
      </c>
    </row>
    <row r="67" spans="1:2">
      <c r="B67" s="9" t="s">
        <v>2159</v>
      </c>
    </row>
    <row r="68" spans="1:2">
      <c r="B68" s="9" t="s">
        <v>789</v>
      </c>
    </row>
    <row r="69" spans="1:2">
      <c r="A69" s="9" t="s">
        <v>1856</v>
      </c>
      <c r="B69" s="9" t="s">
        <v>71</v>
      </c>
    </row>
    <row r="70" spans="1:2">
      <c r="B70" s="9" t="s">
        <v>1443</v>
      </c>
    </row>
    <row r="71" spans="1:2">
      <c r="B71" s="9" t="s">
        <v>66</v>
      </c>
    </row>
    <row r="72" spans="1:2">
      <c r="B72" s="9" t="s">
        <v>1730</v>
      </c>
    </row>
    <row r="73" spans="1:2">
      <c r="B73" s="9" t="s">
        <v>305</v>
      </c>
    </row>
    <row r="74" spans="1:2">
      <c r="B74" s="9" t="s">
        <v>787</v>
      </c>
    </row>
    <row r="75" spans="1:2">
      <c r="B75" s="9" t="s">
        <v>788</v>
      </c>
    </row>
    <row r="76" spans="1:2">
      <c r="B76" s="9" t="s">
        <v>1557</v>
      </c>
    </row>
    <row r="77" spans="1:2">
      <c r="B77" s="9" t="s">
        <v>1756</v>
      </c>
    </row>
    <row r="78" spans="1:2">
      <c r="B78" s="9" t="s">
        <v>309</v>
      </c>
    </row>
    <row r="79" spans="1:2">
      <c r="B79" s="9" t="s">
        <v>310</v>
      </c>
    </row>
    <row r="81" spans="1:2">
      <c r="A81" s="9" t="s">
        <v>2202</v>
      </c>
      <c r="B81" s="9" t="s">
        <v>790</v>
      </c>
    </row>
    <row r="82" spans="1:2">
      <c r="A82" s="9" t="s">
        <v>2214</v>
      </c>
      <c r="B82" s="9" t="s">
        <v>1987</v>
      </c>
    </row>
    <row r="83" spans="1:2">
      <c r="A83" s="2"/>
      <c r="B83" s="9" t="s">
        <v>1833</v>
      </c>
    </row>
    <row r="84" spans="1:2">
      <c r="B84" s="9" t="s">
        <v>408</v>
      </c>
    </row>
    <row r="85" spans="1:2">
      <c r="B85" s="9" t="s">
        <v>1732</v>
      </c>
    </row>
    <row r="86" spans="1:2">
      <c r="A86" s="9" t="s">
        <v>1583</v>
      </c>
      <c r="B86" s="9" t="s">
        <v>1237</v>
      </c>
    </row>
    <row r="87" spans="1:2">
      <c r="B87" s="9" t="s">
        <v>1676</v>
      </c>
    </row>
    <row r="88" spans="1:2">
      <c r="B88" s="9" t="s">
        <v>602</v>
      </c>
    </row>
    <row r="89" spans="1:2">
      <c r="B89" s="9" t="s">
        <v>2203</v>
      </c>
    </row>
    <row r="90" spans="1:2">
      <c r="B90" s="9" t="s">
        <v>37</v>
      </c>
    </row>
    <row r="91" spans="1:2">
      <c r="B91" s="9" t="s">
        <v>2006</v>
      </c>
    </row>
    <row r="92" spans="1:2">
      <c r="B92" s="9" t="s">
        <v>2236</v>
      </c>
    </row>
    <row r="93" spans="1:2">
      <c r="B93" s="9" t="s">
        <v>2235</v>
      </c>
    </row>
    <row r="94" spans="1:2">
      <c r="B94" s="9" t="s">
        <v>2239</v>
      </c>
    </row>
    <row r="95" spans="1:2">
      <c r="A95" s="9" t="s">
        <v>1856</v>
      </c>
      <c r="B95" s="9" t="s">
        <v>1236</v>
      </c>
    </row>
    <row r="96" spans="1:2">
      <c r="B96" s="9" t="s">
        <v>1238</v>
      </c>
    </row>
    <row r="97" spans="1:2">
      <c r="B97" s="9" t="s">
        <v>1239</v>
      </c>
    </row>
    <row r="98" spans="1:2">
      <c r="B98" s="9" t="s">
        <v>1240</v>
      </c>
    </row>
    <row r="99" spans="1:2">
      <c r="B99" s="9" t="s">
        <v>441</v>
      </c>
    </row>
    <row r="100" spans="1:2">
      <c r="B100" s="9" t="s">
        <v>406</v>
      </c>
    </row>
    <row r="101" spans="1:2">
      <c r="B101" s="9" t="s">
        <v>2012</v>
      </c>
    </row>
    <row r="102" spans="1:2">
      <c r="B102" s="9" t="s">
        <v>2313</v>
      </c>
    </row>
    <row r="103" spans="1:2">
      <c r="B103" s="9" t="s">
        <v>2314</v>
      </c>
    </row>
    <row r="104" spans="1:2">
      <c r="B104" s="9" t="s">
        <v>1249</v>
      </c>
    </row>
    <row r="105" spans="1:2">
      <c r="B105" s="9" t="s">
        <v>1731</v>
      </c>
    </row>
    <row r="106" spans="1:2">
      <c r="B106" s="9" t="s">
        <v>1909</v>
      </c>
    </row>
    <row r="107" spans="1:2">
      <c r="B107" s="9" t="s">
        <v>1910</v>
      </c>
    </row>
    <row r="108" spans="1:2">
      <c r="B108" s="9" t="s">
        <v>2233</v>
      </c>
    </row>
    <row r="109" spans="1:2">
      <c r="B109" s="9" t="s">
        <v>1110</v>
      </c>
    </row>
    <row r="110" spans="1:2">
      <c r="B110" s="9" t="s">
        <v>1111</v>
      </c>
    </row>
    <row r="112" spans="1:2">
      <c r="A112" s="9" t="s">
        <v>623</v>
      </c>
      <c r="B112" s="9" t="s">
        <v>790</v>
      </c>
    </row>
    <row r="113" spans="1:2">
      <c r="A113" s="9" t="s">
        <v>2214</v>
      </c>
      <c r="B113" s="9" t="s">
        <v>622</v>
      </c>
    </row>
    <row r="114" spans="1:2">
      <c r="A114" s="9" t="s">
        <v>1583</v>
      </c>
      <c r="B114" s="9" t="s">
        <v>431</v>
      </c>
    </row>
    <row r="115" spans="1:2">
      <c r="B115" s="9" t="s">
        <v>2266</v>
      </c>
    </row>
    <row r="116" spans="1:2">
      <c r="B116" s="9" t="s">
        <v>2058</v>
      </c>
    </row>
    <row r="117" spans="1:2">
      <c r="B117" s="9" t="s">
        <v>2062</v>
      </c>
    </row>
    <row r="118" spans="1:2">
      <c r="B118" s="9" t="s">
        <v>621</v>
      </c>
    </row>
    <row r="119" spans="1:2">
      <c r="B119" s="9" t="s">
        <v>624</v>
      </c>
    </row>
    <row r="120" spans="1:2">
      <c r="A120" s="9" t="s">
        <v>1856</v>
      </c>
      <c r="B120" s="9" t="s">
        <v>1879</v>
      </c>
    </row>
    <row r="121" spans="1:2">
      <c r="B121" s="9" t="s">
        <v>1880</v>
      </c>
    </row>
    <row r="122" spans="1:2">
      <c r="B122" s="9" t="s">
        <v>430</v>
      </c>
    </row>
    <row r="123" spans="1:2">
      <c r="B123" s="9" t="s">
        <v>2264</v>
      </c>
    </row>
    <row r="125" spans="1:2">
      <c r="A125" s="9" t="s">
        <v>1743</v>
      </c>
      <c r="B125" s="9" t="s">
        <v>790</v>
      </c>
    </row>
    <row r="126" spans="1:2">
      <c r="A126" s="9" t="s">
        <v>2214</v>
      </c>
      <c r="B126" s="9" t="s">
        <v>1874</v>
      </c>
    </row>
    <row r="127" spans="1:2">
      <c r="A127" s="2"/>
      <c r="B127" s="9" t="s">
        <v>83</v>
      </c>
    </row>
    <row r="128" spans="1:2">
      <c r="A128" s="2"/>
      <c r="B128" s="9" t="s">
        <v>1260</v>
      </c>
    </row>
    <row r="129" spans="1:2">
      <c r="B129" s="9" t="s">
        <v>79</v>
      </c>
    </row>
    <row r="130" spans="1:2">
      <c r="B130" s="9" t="s">
        <v>1859</v>
      </c>
    </row>
    <row r="131" spans="1:2">
      <c r="B131" s="9" t="s">
        <v>1864</v>
      </c>
    </row>
    <row r="132" spans="1:2">
      <c r="B132" s="9" t="s">
        <v>1860</v>
      </c>
    </row>
    <row r="133" spans="1:2">
      <c r="B133" s="9" t="s">
        <v>1865</v>
      </c>
    </row>
    <row r="134" spans="1:2">
      <c r="B134" s="9" t="s">
        <v>85</v>
      </c>
    </row>
    <row r="135" spans="1:2">
      <c r="B135" s="9" t="s">
        <v>1867</v>
      </c>
    </row>
    <row r="136" spans="1:2">
      <c r="A136" s="2"/>
      <c r="B136" s="9" t="s">
        <v>77</v>
      </c>
    </row>
    <row r="137" spans="1:2">
      <c r="B137" s="9" t="s">
        <v>78</v>
      </c>
    </row>
    <row r="138" spans="1:2">
      <c r="B138" s="9" t="s">
        <v>1261</v>
      </c>
    </row>
    <row r="139" spans="1:2">
      <c r="B139" s="9" t="s">
        <v>1262</v>
      </c>
    </row>
    <row r="140" spans="1:2">
      <c r="B140" s="9" t="s">
        <v>82</v>
      </c>
    </row>
    <row r="141" spans="1:2">
      <c r="B141" s="9" t="s">
        <v>1259</v>
      </c>
    </row>
    <row r="142" spans="1:2">
      <c r="B142" s="9" t="s">
        <v>1553</v>
      </c>
    </row>
    <row r="143" spans="1:2">
      <c r="B143" s="9" t="s">
        <v>1554</v>
      </c>
    </row>
    <row r="144" spans="1:2">
      <c r="B144" s="9" t="s">
        <v>1861</v>
      </c>
    </row>
    <row r="145" spans="1:2">
      <c r="B145" s="9" t="s">
        <v>1870</v>
      </c>
    </row>
    <row r="146" spans="1:2">
      <c r="B146" s="9" t="s">
        <v>1873</v>
      </c>
    </row>
    <row r="147" spans="1:2">
      <c r="B147" s="9" t="s">
        <v>1869</v>
      </c>
    </row>
    <row r="148" spans="1:2">
      <c r="B148" s="9" t="s">
        <v>28</v>
      </c>
    </row>
    <row r="149" spans="1:2">
      <c r="B149" s="9" t="s">
        <v>38</v>
      </c>
    </row>
    <row r="150" spans="1:2">
      <c r="B150" s="9" t="s">
        <v>39</v>
      </c>
    </row>
    <row r="151" spans="1:2">
      <c r="B151" s="9" t="s">
        <v>1742</v>
      </c>
    </row>
    <row r="152" spans="1:2">
      <c r="B152" s="9" t="s">
        <v>103</v>
      </c>
    </row>
    <row r="153" spans="1:2">
      <c r="B153" s="9" t="s">
        <v>106</v>
      </c>
    </row>
    <row r="154" spans="1:2">
      <c r="B154" s="9" t="s">
        <v>1558</v>
      </c>
    </row>
    <row r="155" spans="1:2">
      <c r="A155" s="9" t="s">
        <v>1583</v>
      </c>
      <c r="B155" s="9" t="s">
        <v>1591</v>
      </c>
    </row>
    <row r="156" spans="1:2">
      <c r="B156" s="9" t="s">
        <v>864</v>
      </c>
    </row>
    <row r="157" spans="1:2">
      <c r="B157" s="9" t="s">
        <v>2295</v>
      </c>
    </row>
    <row r="158" spans="1:2">
      <c r="B158" s="9" t="s">
        <v>421</v>
      </c>
    </row>
    <row r="159" spans="1:2">
      <c r="B159" s="9" t="s">
        <v>958</v>
      </c>
    </row>
    <row r="160" spans="1:2">
      <c r="B160" s="9" t="s">
        <v>1135</v>
      </c>
    </row>
    <row r="161" spans="1:2">
      <c r="B161" s="9" t="s">
        <v>865</v>
      </c>
    </row>
    <row r="162" spans="1:2">
      <c r="B162" s="9" t="s">
        <v>94</v>
      </c>
    </row>
    <row r="163" spans="1:2">
      <c r="B163" s="9" t="s">
        <v>96</v>
      </c>
    </row>
    <row r="164" spans="1:2">
      <c r="B164" s="9" t="s">
        <v>1559</v>
      </c>
    </row>
    <row r="165" spans="1:2">
      <c r="A165" s="9" t="s">
        <v>1856</v>
      </c>
      <c r="B165" s="9" t="s">
        <v>1622</v>
      </c>
    </row>
    <row r="166" spans="1:2">
      <c r="B166" s="9" t="s">
        <v>2014</v>
      </c>
    </row>
    <row r="167" spans="1:2">
      <c r="B167" s="9" t="s">
        <v>2015</v>
      </c>
    </row>
    <row r="168" spans="1:2">
      <c r="B168" s="9" t="s">
        <v>99</v>
      </c>
    </row>
    <row r="169" spans="1:2">
      <c r="A169" s="9" t="s">
        <v>2070</v>
      </c>
      <c r="B169" s="9" t="s">
        <v>810</v>
      </c>
    </row>
    <row r="172" spans="1:2">
      <c r="A172" s="9" t="s">
        <v>809</v>
      </c>
      <c r="B172" s="9" t="s">
        <v>790</v>
      </c>
    </row>
    <row r="173" spans="1:2">
      <c r="A173" s="9" t="s">
        <v>1583</v>
      </c>
      <c r="B173" s="9" t="s">
        <v>2260</v>
      </c>
    </row>
    <row r="174" spans="1:2">
      <c r="B174" s="9" t="s">
        <v>2261</v>
      </c>
    </row>
    <row r="175" spans="1:2">
      <c r="B175" s="9" t="s">
        <v>451</v>
      </c>
    </row>
    <row r="176" spans="1:2">
      <c r="A176" s="9" t="s">
        <v>1856</v>
      </c>
      <c r="B176" s="9" t="s">
        <v>2257</v>
      </c>
    </row>
    <row r="177" spans="1:2">
      <c r="B177" s="9" t="s">
        <v>2227</v>
      </c>
    </row>
    <row r="178" spans="1:2">
      <c r="B178" s="9" t="s">
        <v>2258</v>
      </c>
    </row>
    <row r="179" spans="1:2">
      <c r="B179" s="9" t="s">
        <v>2259</v>
      </c>
    </row>
    <row r="182" spans="1:2">
      <c r="A182" s="9" t="s">
        <v>876</v>
      </c>
      <c r="B182" s="9" t="s">
        <v>790</v>
      </c>
    </row>
    <row r="183" spans="1:2">
      <c r="A183" s="9" t="s">
        <v>2214</v>
      </c>
      <c r="B183" s="9" t="s">
        <v>697</v>
      </c>
    </row>
    <row r="184" spans="1:2">
      <c r="B184" s="9" t="s">
        <v>154</v>
      </c>
    </row>
    <row r="185" spans="1:2">
      <c r="B185" s="9" t="s">
        <v>153</v>
      </c>
    </row>
    <row r="186" spans="1:2">
      <c r="B186" s="9" t="s">
        <v>874</v>
      </c>
    </row>
    <row r="187" spans="1:2">
      <c r="A187" s="9" t="s">
        <v>1583</v>
      </c>
      <c r="B187" s="9" t="s">
        <v>156</v>
      </c>
    </row>
    <row r="188" spans="1:2">
      <c r="B188" s="9" t="s">
        <v>848</v>
      </c>
    </row>
    <row r="189" spans="1:2">
      <c r="B189" s="9" t="s">
        <v>875</v>
      </c>
    </row>
    <row r="190" spans="1:2">
      <c r="A190" s="9" t="s">
        <v>1856</v>
      </c>
      <c r="B190" s="9" t="s">
        <v>994</v>
      </c>
    </row>
    <row r="191" spans="1:2">
      <c r="B191" s="9" t="s">
        <v>696</v>
      </c>
    </row>
    <row r="192" spans="1:2">
      <c r="B192" s="9" t="s">
        <v>157</v>
      </c>
    </row>
    <row r="193" spans="1:2">
      <c r="B193" s="9" t="s">
        <v>149</v>
      </c>
    </row>
    <row r="194" spans="1:2">
      <c r="B194" s="9" t="s">
        <v>150</v>
      </c>
    </row>
    <row r="195" spans="1:2">
      <c r="B195" s="9" t="s">
        <v>151</v>
      </c>
    </row>
    <row r="196" spans="1:2">
      <c r="B196" s="9" t="s">
        <v>847</v>
      </c>
    </row>
    <row r="197" spans="1:2">
      <c r="B197" s="9" t="s">
        <v>851</v>
      </c>
    </row>
    <row r="198" spans="1:2">
      <c r="B198" s="9" t="s">
        <v>878</v>
      </c>
    </row>
    <row r="199" spans="1:2">
      <c r="A199" s="9" t="s">
        <v>2070</v>
      </c>
      <c r="B199" s="9" t="s">
        <v>152</v>
      </c>
    </row>
    <row r="201" spans="1:2">
      <c r="A201" s="9" t="s">
        <v>1594</v>
      </c>
      <c r="B201" s="9" t="s">
        <v>790</v>
      </c>
    </row>
    <row r="202" spans="1:2">
      <c r="A202" s="9" t="s">
        <v>1583</v>
      </c>
      <c r="B202" s="9" t="s">
        <v>2039</v>
      </c>
    </row>
    <row r="203" spans="1:2">
      <c r="B203" s="9" t="s">
        <v>313</v>
      </c>
    </row>
    <row r="204" spans="1:2">
      <c r="B204" s="9" t="s">
        <v>314</v>
      </c>
    </row>
    <row r="205" spans="1:2">
      <c r="A205" s="9" t="s">
        <v>1856</v>
      </c>
      <c r="B205" s="9" t="s">
        <v>312</v>
      </c>
    </row>
    <row r="206" spans="1:2">
      <c r="B206" s="9" t="s">
        <v>315</v>
      </c>
    </row>
    <row r="207" spans="1:2">
      <c r="B207" s="9" t="s">
        <v>2038</v>
      </c>
    </row>
    <row r="209" spans="1:2">
      <c r="A209" s="9" t="s">
        <v>1605</v>
      </c>
      <c r="B209" s="9" t="s">
        <v>790</v>
      </c>
    </row>
    <row r="210" spans="1:2">
      <c r="A210" s="9" t="s">
        <v>2214</v>
      </c>
      <c r="B210" s="9" t="s">
        <v>834</v>
      </c>
    </row>
    <row r="211" spans="1:2">
      <c r="B211" s="9" t="s">
        <v>1139</v>
      </c>
    </row>
    <row r="212" spans="1:2">
      <c r="A212" s="9" t="s">
        <v>1583</v>
      </c>
      <c r="B212" s="9" t="s">
        <v>831</v>
      </c>
    </row>
    <row r="213" spans="1:2">
      <c r="B213" s="9" t="s">
        <v>1265</v>
      </c>
    </row>
    <row r="214" spans="1:2">
      <c r="B214" s="9" t="s">
        <v>1487</v>
      </c>
    </row>
    <row r="215" spans="1:2">
      <c r="B215" s="9" t="s">
        <v>1556</v>
      </c>
    </row>
    <row r="216" spans="1:2">
      <c r="B216" s="9" t="s">
        <v>1321</v>
      </c>
    </row>
    <row r="217" spans="1:2">
      <c r="B217" s="9" t="s">
        <v>1488</v>
      </c>
    </row>
    <row r="218" spans="1:2">
      <c r="B218" s="9" t="s">
        <v>1322</v>
      </c>
    </row>
    <row r="219" spans="1:2">
      <c r="B219" s="9" t="s">
        <v>1138</v>
      </c>
    </row>
    <row r="220" spans="1:2">
      <c r="B220" s="9" t="s">
        <v>1489</v>
      </c>
    </row>
    <row r="221" spans="1:2">
      <c r="B221" s="9" t="s">
        <v>1490</v>
      </c>
    </row>
    <row r="222" spans="1:2">
      <c r="B222" s="9" t="s">
        <v>1491</v>
      </c>
    </row>
    <row r="223" spans="1:2">
      <c r="A223" s="9" t="s">
        <v>1856</v>
      </c>
      <c r="B223" s="9" t="s">
        <v>832</v>
      </c>
    </row>
    <row r="224" spans="1:2">
      <c r="B224" s="9" t="s">
        <v>613</v>
      </c>
    </row>
    <row r="225" spans="1:2">
      <c r="B225" s="9" t="s">
        <v>587</v>
      </c>
    </row>
    <row r="226" spans="1:2">
      <c r="B226" s="9" t="s">
        <v>730</v>
      </c>
    </row>
    <row r="227" spans="1:2">
      <c r="B227" s="9" t="s">
        <v>937</v>
      </c>
    </row>
    <row r="228" spans="1:2">
      <c r="A228" s="9" t="s">
        <v>2070</v>
      </c>
      <c r="B228" s="9" t="s">
        <v>266</v>
      </c>
    </row>
    <row r="230" spans="1:2">
      <c r="A230" s="9" t="s">
        <v>1415</v>
      </c>
      <c r="B230" s="9" t="s">
        <v>790</v>
      </c>
    </row>
    <row r="231" spans="1:2">
      <c r="A231" s="9" t="s">
        <v>2214</v>
      </c>
      <c r="B231" s="9" t="s">
        <v>438</v>
      </c>
    </row>
    <row r="232" spans="1:2">
      <c r="B232" s="9" t="s">
        <v>1416</v>
      </c>
    </row>
    <row r="233" spans="1:2">
      <c r="B233" s="9" t="s">
        <v>306</v>
      </c>
    </row>
    <row r="234" spans="1:2">
      <c r="B234" s="9" t="s">
        <v>1354</v>
      </c>
    </row>
    <row r="235" spans="1:2">
      <c r="A235" s="9" t="s">
        <v>1583</v>
      </c>
      <c r="B235" s="9" t="s">
        <v>655</v>
      </c>
    </row>
    <row r="236" spans="1:2">
      <c r="B236" s="9" t="s">
        <v>630</v>
      </c>
    </row>
    <row r="237" spans="1:2">
      <c r="B237" s="9" t="s">
        <v>1350</v>
      </c>
    </row>
    <row r="238" spans="1:2">
      <c r="A238" s="2"/>
      <c r="B238" s="9" t="s">
        <v>626</v>
      </c>
    </row>
    <row r="239" spans="1:2">
      <c r="B239" s="9" t="s">
        <v>625</v>
      </c>
    </row>
    <row r="240" spans="1:2">
      <c r="B240" s="9" t="s">
        <v>627</v>
      </c>
    </row>
    <row r="241" spans="1:2">
      <c r="A241" s="9" t="s">
        <v>1856</v>
      </c>
      <c r="B241" s="9" t="s">
        <v>16</v>
      </c>
    </row>
    <row r="242" spans="1:2">
      <c r="B242" s="9" t="s">
        <v>1620</v>
      </c>
    </row>
    <row r="243" spans="1:2">
      <c r="B243" s="9" t="s">
        <v>1255</v>
      </c>
    </row>
    <row r="244" spans="1:2">
      <c r="B244" s="9" t="s">
        <v>1256</v>
      </c>
    </row>
    <row r="245" spans="1:2">
      <c r="B245" s="9" t="s">
        <v>1257</v>
      </c>
    </row>
    <row r="246" spans="1:2">
      <c r="B246" s="9" t="s">
        <v>1208</v>
      </c>
    </row>
    <row r="247" spans="1:2">
      <c r="B247" s="9" t="s">
        <v>1209</v>
      </c>
    </row>
    <row r="248" spans="1:2">
      <c r="B248" s="9" t="s">
        <v>1417</v>
      </c>
    </row>
    <row r="249" spans="1:2">
      <c r="A249" s="9" t="s">
        <v>2070</v>
      </c>
      <c r="B249" s="9" t="s">
        <v>2016</v>
      </c>
    </row>
    <row r="250" spans="1:2">
      <c r="B250" s="9" t="s">
        <v>2017</v>
      </c>
    </row>
    <row r="252" spans="1:2">
      <c r="A252" s="9" t="s">
        <v>1570</v>
      </c>
      <c r="B252" s="9" t="s">
        <v>790</v>
      </c>
    </row>
    <row r="253" spans="1:2">
      <c r="A253" s="9" t="s">
        <v>2214</v>
      </c>
      <c r="B253" s="9" t="s">
        <v>2093</v>
      </c>
    </row>
    <row r="254" spans="1:2">
      <c r="B254" s="9" t="s">
        <v>10</v>
      </c>
    </row>
    <row r="255" spans="1:2">
      <c r="B255" s="9" t="s">
        <v>130</v>
      </c>
    </row>
    <row r="256" spans="1:2">
      <c r="B256" s="9" t="s">
        <v>1883</v>
      </c>
    </row>
    <row r="257" spans="1:2">
      <c r="B257" s="9" t="s">
        <v>1568</v>
      </c>
    </row>
    <row r="258" spans="1:2">
      <c r="A258" s="2"/>
      <c r="B258" s="9" t="s">
        <v>1634</v>
      </c>
    </row>
    <row r="259" spans="1:2">
      <c r="A259" s="2"/>
      <c r="B259" s="9" t="s">
        <v>425</v>
      </c>
    </row>
    <row r="260" spans="1:2">
      <c r="A260" s="2"/>
      <c r="B260" s="9" t="s">
        <v>11</v>
      </c>
    </row>
    <row r="261" spans="1:2">
      <c r="B261" s="9" t="s">
        <v>2026</v>
      </c>
    </row>
    <row r="262" spans="1:2">
      <c r="B262" s="9" t="s">
        <v>2027</v>
      </c>
    </row>
    <row r="263" spans="1:2">
      <c r="B263" s="9" t="s">
        <v>426</v>
      </c>
    </row>
    <row r="264" spans="1:2">
      <c r="A264" s="2"/>
      <c r="B264" s="9" t="s">
        <v>1140</v>
      </c>
    </row>
    <row r="265" spans="1:2">
      <c r="B265" s="9" t="s">
        <v>1141</v>
      </c>
    </row>
    <row r="266" spans="1:2">
      <c r="B266" s="9" t="s">
        <v>1884</v>
      </c>
    </row>
    <row r="267" spans="1:2">
      <c r="B267" s="9" t="s">
        <v>1892</v>
      </c>
    </row>
    <row r="268" spans="1:2">
      <c r="B268" s="9" t="s">
        <v>1346</v>
      </c>
    </row>
    <row r="269" spans="1:2">
      <c r="B269" s="9" t="s">
        <v>1677</v>
      </c>
    </row>
    <row r="270" spans="1:2">
      <c r="B270" s="9" t="s">
        <v>1885</v>
      </c>
    </row>
    <row r="271" spans="1:2">
      <c r="B271" s="9" t="s">
        <v>12</v>
      </c>
    </row>
    <row r="272" spans="1:2">
      <c r="B272" s="9" t="s">
        <v>700</v>
      </c>
    </row>
    <row r="273" spans="1:2">
      <c r="A273" s="2"/>
      <c r="B273" s="9" t="s">
        <v>1027</v>
      </c>
    </row>
    <row r="274" spans="1:2">
      <c r="A274" s="2"/>
      <c r="B274" s="9" t="s">
        <v>1635</v>
      </c>
    </row>
    <row r="275" spans="1:2">
      <c r="A275" s="2"/>
      <c r="B275" s="9" t="s">
        <v>1142</v>
      </c>
    </row>
    <row r="276" spans="1:2">
      <c r="B276" s="9" t="s">
        <v>879</v>
      </c>
    </row>
    <row r="277" spans="1:2">
      <c r="B277" s="9" t="s">
        <v>129</v>
      </c>
    </row>
    <row r="278" spans="1:2">
      <c r="B278" s="9" t="s">
        <v>1886</v>
      </c>
    </row>
    <row r="279" spans="1:2">
      <c r="B279" s="9" t="s">
        <v>427</v>
      </c>
    </row>
    <row r="280" spans="1:2">
      <c r="B280" s="9" t="s">
        <v>1887</v>
      </c>
    </row>
    <row r="281" spans="1:2">
      <c r="B281" s="9" t="s">
        <v>1891</v>
      </c>
    </row>
    <row r="282" spans="1:2">
      <c r="B282" s="9" t="s">
        <v>428</v>
      </c>
    </row>
    <row r="283" spans="1:2">
      <c r="B283" s="9" t="s">
        <v>1889</v>
      </c>
    </row>
    <row r="284" spans="1:2">
      <c r="B284" s="9" t="s">
        <v>1890</v>
      </c>
    </row>
    <row r="285" spans="1:2">
      <c r="B285" s="9" t="s">
        <v>429</v>
      </c>
    </row>
    <row r="286" spans="1:2">
      <c r="B286" s="9" t="s">
        <v>1881</v>
      </c>
    </row>
    <row r="287" spans="1:2">
      <c r="B287" s="9" t="s">
        <v>1882</v>
      </c>
    </row>
    <row r="288" spans="1:2">
      <c r="A288" s="9" t="s">
        <v>1856</v>
      </c>
      <c r="B288" s="9" t="s">
        <v>422</v>
      </c>
    </row>
    <row r="289" spans="1:2">
      <c r="B289" s="9" t="s">
        <v>252</v>
      </c>
    </row>
    <row r="290" spans="1:2">
      <c r="B290" s="9" t="s">
        <v>254</v>
      </c>
    </row>
    <row r="291" spans="1:2">
      <c r="B291" s="9" t="s">
        <v>307</v>
      </c>
    </row>
    <row r="292" spans="1:2">
      <c r="B292" s="9" t="s">
        <v>1569</v>
      </c>
    </row>
    <row r="293" spans="1:2">
      <c r="B293" s="9" t="s">
        <v>1571</v>
      </c>
    </row>
    <row r="294" spans="1:2">
      <c r="A294" s="9" t="s">
        <v>423</v>
      </c>
      <c r="B294" s="9" t="s">
        <v>424</v>
      </c>
    </row>
    <row r="295" spans="1:2">
      <c r="B295" s="9" t="s">
        <v>253</v>
      </c>
    </row>
    <row r="296" spans="1:2">
      <c r="B296" s="9" t="s">
        <v>1567</v>
      </c>
    </row>
    <row r="298" spans="1:2">
      <c r="A298" s="9" t="s">
        <v>458</v>
      </c>
      <c r="B298" s="9" t="s">
        <v>790</v>
      </c>
    </row>
    <row r="299" spans="1:2">
      <c r="A299" s="9" t="s">
        <v>2214</v>
      </c>
      <c r="B299" s="9" t="s">
        <v>989</v>
      </c>
    </row>
    <row r="300" spans="1:2">
      <c r="A300" s="2"/>
      <c r="B300" s="9" t="s">
        <v>966</v>
      </c>
    </row>
    <row r="301" spans="1:2">
      <c r="B301" s="9" t="s">
        <v>970</v>
      </c>
    </row>
    <row r="302" spans="1:2">
      <c r="B302" s="9" t="s">
        <v>859</v>
      </c>
    </row>
    <row r="303" spans="1:2">
      <c r="B303" s="9" t="s">
        <v>707</v>
      </c>
    </row>
    <row r="304" spans="1:2">
      <c r="B304" s="9" t="s">
        <v>987</v>
      </c>
    </row>
    <row r="305" spans="1:2">
      <c r="A305" s="2"/>
      <c r="B305" s="9" t="s">
        <v>965</v>
      </c>
    </row>
    <row r="306" spans="1:2">
      <c r="A306" s="2"/>
      <c r="B306" s="9" t="s">
        <v>985</v>
      </c>
    </row>
    <row r="307" spans="1:2">
      <c r="A307" s="2"/>
      <c r="B307" s="9" t="s">
        <v>964</v>
      </c>
    </row>
    <row r="308" spans="1:2">
      <c r="A308" s="2"/>
      <c r="B308" s="9" t="s">
        <v>986</v>
      </c>
    </row>
    <row r="309" spans="1:2">
      <c r="A309" s="2"/>
      <c r="B309" s="9" t="s">
        <v>706</v>
      </c>
    </row>
    <row r="310" spans="1:2">
      <c r="A310" s="2"/>
      <c r="B310" s="9" t="s">
        <v>968</v>
      </c>
    </row>
    <row r="311" spans="1:2">
      <c r="A311" s="2"/>
      <c r="B311" s="9" t="s">
        <v>978</v>
      </c>
    </row>
    <row r="312" spans="1:2">
      <c r="A312" s="2"/>
      <c r="B312" s="9" t="s">
        <v>977</v>
      </c>
    </row>
    <row r="313" spans="1:2">
      <c r="A313" s="2"/>
      <c r="B313" s="9" t="s">
        <v>869</v>
      </c>
    </row>
    <row r="314" spans="1:2">
      <c r="A314" s="2"/>
      <c r="B314" s="9" t="s">
        <v>971</v>
      </c>
    </row>
    <row r="315" spans="1:2">
      <c r="A315" s="2"/>
      <c r="B315" s="9" t="s">
        <v>959</v>
      </c>
    </row>
    <row r="316" spans="1:2">
      <c r="A316" s="2"/>
      <c r="B316" s="9" t="s">
        <v>969</v>
      </c>
    </row>
    <row r="317" spans="1:2">
      <c r="A317" s="2"/>
      <c r="B317" s="9" t="s">
        <v>871</v>
      </c>
    </row>
    <row r="318" spans="1:2">
      <c r="A318" s="2"/>
      <c r="B318" s="9" t="s">
        <v>967</v>
      </c>
    </row>
    <row r="319" spans="1:2">
      <c r="A319" s="2"/>
      <c r="B319" s="9" t="s">
        <v>992</v>
      </c>
    </row>
    <row r="320" spans="1:2">
      <c r="A320" s="2"/>
      <c r="B320" s="9" t="s">
        <v>703</v>
      </c>
    </row>
    <row r="321" spans="1:2">
      <c r="A321" s="2"/>
      <c r="B321" s="9" t="s">
        <v>704</v>
      </c>
    </row>
    <row r="322" spans="1:2">
      <c r="A322" s="2"/>
      <c r="B322" s="9" t="s">
        <v>702</v>
      </c>
    </row>
    <row r="323" spans="1:2">
      <c r="A323" s="2"/>
      <c r="B323" s="9" t="s">
        <v>701</v>
      </c>
    </row>
    <row r="324" spans="1:2">
      <c r="A324" s="2"/>
      <c r="B324" s="9" t="s">
        <v>705</v>
      </c>
    </row>
    <row r="325" spans="1:2">
      <c r="A325" s="2"/>
      <c r="B325" s="9" t="s">
        <v>979</v>
      </c>
    </row>
    <row r="326" spans="1:2">
      <c r="A326" s="2"/>
      <c r="B326" s="9" t="s">
        <v>963</v>
      </c>
    </row>
    <row r="327" spans="1:2">
      <c r="A327" s="2"/>
      <c r="B327" s="9" t="s">
        <v>990</v>
      </c>
    </row>
    <row r="328" spans="1:2">
      <c r="A328" s="2"/>
      <c r="B328" s="9" t="s">
        <v>974</v>
      </c>
    </row>
    <row r="329" spans="1:2">
      <c r="A329" s="2"/>
      <c r="B329" s="9" t="s">
        <v>975</v>
      </c>
    </row>
    <row r="330" spans="1:2">
      <c r="A330" s="2"/>
      <c r="B330" s="9" t="s">
        <v>988</v>
      </c>
    </row>
    <row r="331" spans="1:2">
      <c r="B331" s="9" t="s">
        <v>872</v>
      </c>
    </row>
    <row r="332" spans="1:2">
      <c r="B332" s="9" t="s">
        <v>980</v>
      </c>
    </row>
    <row r="333" spans="1:2">
      <c r="B333" s="9" t="s">
        <v>981</v>
      </c>
    </row>
    <row r="334" spans="1:2">
      <c r="B334" s="9" t="s">
        <v>982</v>
      </c>
    </row>
    <row r="335" spans="1:2">
      <c r="B335" s="9" t="s">
        <v>991</v>
      </c>
    </row>
    <row r="336" spans="1:2">
      <c r="B336" s="9" t="s">
        <v>972</v>
      </c>
    </row>
    <row r="337" spans="1:2">
      <c r="B337" s="9" t="s">
        <v>983</v>
      </c>
    </row>
    <row r="338" spans="1:2">
      <c r="B338" s="9" t="s">
        <v>973</v>
      </c>
    </row>
    <row r="339" spans="1:2">
      <c r="B339" s="9" t="s">
        <v>1266</v>
      </c>
    </row>
    <row r="340" spans="1:2">
      <c r="A340" s="9" t="s">
        <v>1583</v>
      </c>
      <c r="B340" s="9" t="s">
        <v>609</v>
      </c>
    </row>
    <row r="341" spans="1:2">
      <c r="B341" s="9" t="s">
        <v>610</v>
      </c>
    </row>
    <row r="342" spans="1:2">
      <c r="B342" s="9" t="s">
        <v>611</v>
      </c>
    </row>
    <row r="343" spans="1:2">
      <c r="B343" s="9" t="s">
        <v>938</v>
      </c>
    </row>
    <row r="344" spans="1:2">
      <c r="A344" s="9" t="s">
        <v>1856</v>
      </c>
      <c r="B344" s="9" t="s">
        <v>714</v>
      </c>
    </row>
    <row r="345" spans="1:2">
      <c r="B345" s="9" t="s">
        <v>993</v>
      </c>
    </row>
    <row r="346" spans="1:2">
      <c r="B346" s="9" t="s">
        <v>955</v>
      </c>
    </row>
    <row r="347" spans="1:2">
      <c r="B347" s="9" t="s">
        <v>1604</v>
      </c>
    </row>
    <row r="348" spans="1:2">
      <c r="B348" s="9" t="s">
        <v>1962</v>
      </c>
    </row>
    <row r="349" spans="1:2">
      <c r="B349" s="9" t="s">
        <v>612</v>
      </c>
    </row>
    <row r="350" spans="1:2">
      <c r="A350" s="9" t="s">
        <v>855</v>
      </c>
      <c r="B350" s="9" t="s">
        <v>856</v>
      </c>
    </row>
    <row r="351" spans="1:2">
      <c r="B351" s="9" t="s">
        <v>1398</v>
      </c>
    </row>
    <row r="352" spans="1:2">
      <c r="B352" s="9" t="s">
        <v>857</v>
      </c>
    </row>
    <row r="353" spans="1:2">
      <c r="B353" s="9" t="s">
        <v>858</v>
      </c>
    </row>
    <row r="354" spans="1:2">
      <c r="B354" s="9" t="s">
        <v>1150</v>
      </c>
    </row>
    <row r="356" spans="1:2">
      <c r="A356" s="9" t="s">
        <v>189</v>
      </c>
      <c r="B356" s="9" t="s">
        <v>790</v>
      </c>
    </row>
    <row r="357" spans="1:2">
      <c r="A357" s="9" t="s">
        <v>2214</v>
      </c>
      <c r="B357" s="9" t="s">
        <v>1290</v>
      </c>
    </row>
    <row r="358" spans="1:2">
      <c r="A358" s="2"/>
      <c r="B358" s="9" t="s">
        <v>1291</v>
      </c>
    </row>
    <row r="359" spans="1:2">
      <c r="A359" s="2"/>
      <c r="B359" s="9" t="s">
        <v>811</v>
      </c>
    </row>
    <row r="360" spans="1:2">
      <c r="A360" s="2"/>
      <c r="B360" s="9" t="s">
        <v>1357</v>
      </c>
    </row>
    <row r="361" spans="1:2">
      <c r="A361" s="2"/>
      <c r="B361" s="9" t="s">
        <v>188</v>
      </c>
    </row>
    <row r="362" spans="1:2">
      <c r="A362" s="2" t="s">
        <v>1583</v>
      </c>
      <c r="B362" s="9" t="s">
        <v>1911</v>
      </c>
    </row>
    <row r="363" spans="1:2">
      <c r="A363" s="2"/>
      <c r="B363" s="9" t="s">
        <v>1129</v>
      </c>
    </row>
    <row r="364" spans="1:2">
      <c r="A364" s="2"/>
      <c r="B364" s="9" t="s">
        <v>190</v>
      </c>
    </row>
    <row r="365" spans="1:2">
      <c r="A365" s="2"/>
      <c r="B365" s="9" t="s">
        <v>560</v>
      </c>
    </row>
    <row r="366" spans="1:2">
      <c r="A366" s="2"/>
      <c r="B366" s="9" t="s">
        <v>1630</v>
      </c>
    </row>
    <row r="367" spans="1:2">
      <c r="A367" s="2"/>
      <c r="B367" s="9" t="s">
        <v>1636</v>
      </c>
    </row>
    <row r="368" spans="1:2">
      <c r="A368" s="2"/>
      <c r="B368" s="9" t="s">
        <v>1741</v>
      </c>
    </row>
    <row r="369" spans="1:2">
      <c r="A369" s="2"/>
      <c r="B369" s="9" t="s">
        <v>1631</v>
      </c>
    </row>
    <row r="370" spans="1:2">
      <c r="A370" s="2"/>
      <c r="B370" s="9" t="s">
        <v>1632</v>
      </c>
    </row>
    <row r="371" spans="1:2">
      <c r="A371" s="2"/>
      <c r="B371" s="9" t="s">
        <v>1740</v>
      </c>
    </row>
    <row r="372" spans="1:2">
      <c r="A372" s="2"/>
      <c r="B372" s="9" t="s">
        <v>1633</v>
      </c>
    </row>
    <row r="373" spans="1:2">
      <c r="A373" s="2"/>
      <c r="B373" s="9" t="s">
        <v>45</v>
      </c>
    </row>
    <row r="374" spans="1:2">
      <c r="A374" s="2"/>
      <c r="B374" s="9" t="s">
        <v>52</v>
      </c>
    </row>
    <row r="375" spans="1:2">
      <c r="A375" s="2"/>
      <c r="B375" s="9" t="s">
        <v>1637</v>
      </c>
    </row>
    <row r="376" spans="1:2">
      <c r="A376" s="2" t="s">
        <v>1856</v>
      </c>
      <c r="B376" s="9" t="s">
        <v>1292</v>
      </c>
    </row>
    <row r="377" spans="1:2">
      <c r="A377" s="2"/>
      <c r="B377" s="9" t="s">
        <v>1293</v>
      </c>
    </row>
    <row r="378" spans="1:2">
      <c r="A378" s="2"/>
      <c r="B378" s="9" t="s">
        <v>1130</v>
      </c>
    </row>
    <row r="379" spans="1:2">
      <c r="A379" s="2"/>
      <c r="B379" s="9" t="s">
        <v>1652</v>
      </c>
    </row>
    <row r="380" spans="1:2">
      <c r="A380" s="2"/>
      <c r="B380" s="9" t="s">
        <v>114</v>
      </c>
    </row>
    <row r="381" spans="1:2">
      <c r="A381" s="2"/>
      <c r="B381" s="9" t="s">
        <v>606</v>
      </c>
    </row>
    <row r="382" spans="1:2">
      <c r="A382" s="2"/>
      <c r="B382" s="9" t="s">
        <v>40</v>
      </c>
    </row>
    <row r="383" spans="1:2">
      <c r="A383" s="2"/>
      <c r="B383" s="9" t="s">
        <v>42</v>
      </c>
    </row>
    <row r="384" spans="1:2">
      <c r="A384" s="2"/>
      <c r="B384" s="9" t="s">
        <v>41</v>
      </c>
    </row>
    <row r="385" spans="1:2">
      <c r="A385" s="2" t="s">
        <v>2070</v>
      </c>
      <c r="B385" s="9" t="s">
        <v>43</v>
      </c>
    </row>
    <row r="386" spans="1:2">
      <c r="A386" s="2"/>
      <c r="B386" s="9" t="s">
        <v>51</v>
      </c>
    </row>
    <row r="387" spans="1:2">
      <c r="B387" s="9" t="s">
        <v>1618</v>
      </c>
    </row>
    <row r="388" spans="1:2">
      <c r="B388" s="9" t="s">
        <v>1619</v>
      </c>
    </row>
    <row r="389" spans="1:2">
      <c r="B389" s="9" t="s">
        <v>2068</v>
      </c>
    </row>
    <row r="391" spans="1:2">
      <c r="A391" s="9" t="s">
        <v>1855</v>
      </c>
      <c r="B391" s="9" t="s">
        <v>790</v>
      </c>
    </row>
    <row r="392" spans="1:2">
      <c r="A392" s="9" t="s">
        <v>2214</v>
      </c>
      <c r="B392" s="9" t="s">
        <v>2215</v>
      </c>
    </row>
    <row r="393" spans="1:2">
      <c r="A393" s="9" t="s">
        <v>1856</v>
      </c>
      <c r="B393" s="9" t="s">
        <v>2217</v>
      </c>
    </row>
    <row r="394" spans="1:2">
      <c r="B394" s="9" t="s">
        <v>497</v>
      </c>
    </row>
    <row r="395" spans="1:2">
      <c r="B395" s="9" t="s">
        <v>2216</v>
      </c>
    </row>
    <row r="396" spans="1:2">
      <c r="B396" s="9" t="s">
        <v>995</v>
      </c>
    </row>
    <row r="397" spans="1:2">
      <c r="B397" s="9" t="s">
        <v>1339</v>
      </c>
    </row>
    <row r="398" spans="1:2">
      <c r="B398" s="9" t="s">
        <v>2212</v>
      </c>
    </row>
    <row r="399" spans="1:2">
      <c r="B399" s="9" t="s">
        <v>2218</v>
      </c>
    </row>
    <row r="401" spans="1:2">
      <c r="A401" s="9" t="s">
        <v>1353</v>
      </c>
      <c r="B401" s="9" t="s">
        <v>790</v>
      </c>
    </row>
    <row r="402" spans="1:2">
      <c r="A402" s="9" t="s">
        <v>2247</v>
      </c>
      <c r="B402" s="9" t="s">
        <v>791</v>
      </c>
    </row>
    <row r="403" spans="1:2">
      <c r="A403" s="9" t="s">
        <v>2178</v>
      </c>
      <c r="B403" s="9" t="s">
        <v>1424</v>
      </c>
    </row>
    <row r="404" spans="1:2">
      <c r="B404" s="9" t="s">
        <v>1425</v>
      </c>
    </row>
    <row r="405" spans="1:2">
      <c r="B405" s="9" t="s">
        <v>488</v>
      </c>
    </row>
    <row r="406" spans="1:2">
      <c r="B406" s="9" t="s">
        <v>489</v>
      </c>
    </row>
    <row r="407" spans="1:2">
      <c r="B407" s="9" t="s">
        <v>1336</v>
      </c>
    </row>
    <row r="408" spans="1:2">
      <c r="B408" s="9" t="s">
        <v>873</v>
      </c>
    </row>
    <row r="409" spans="1:2">
      <c r="A409" s="9" t="s">
        <v>2246</v>
      </c>
      <c r="B409" s="9" t="s">
        <v>261</v>
      </c>
    </row>
    <row r="410" spans="1:2">
      <c r="B410" s="9" t="s">
        <v>262</v>
      </c>
    </row>
    <row r="411" spans="1:2">
      <c r="B411" s="9" t="s">
        <v>852</v>
      </c>
    </row>
    <row r="413" spans="1:2">
      <c r="A413" s="9" t="s">
        <v>1964</v>
      </c>
      <c r="B413" s="9" t="s">
        <v>790</v>
      </c>
    </row>
    <row r="414" spans="1:2">
      <c r="A414" s="9" t="s">
        <v>2247</v>
      </c>
      <c r="B414" s="9" t="s">
        <v>534</v>
      </c>
    </row>
    <row r="415" spans="1:2">
      <c r="B415" s="9" t="s">
        <v>889</v>
      </c>
    </row>
    <row r="416" spans="1:2">
      <c r="B416" s="9" t="s">
        <v>890</v>
      </c>
    </row>
    <row r="417" spans="1:2">
      <c r="B417" s="9" t="s">
        <v>1593</v>
      </c>
    </row>
    <row r="418" spans="1:2">
      <c r="A418" s="9" t="s">
        <v>2246</v>
      </c>
      <c r="B418" s="9" t="s">
        <v>1854</v>
      </c>
    </row>
    <row r="419" spans="1:2">
      <c r="A419" s="9" t="s">
        <v>2178</v>
      </c>
      <c r="B419" s="9" t="s">
        <v>1963</v>
      </c>
    </row>
    <row r="420" spans="1:2">
      <c r="B420" s="9" t="s">
        <v>795</v>
      </c>
    </row>
    <row r="421" spans="1:2">
      <c r="B421" s="9" t="s">
        <v>7</v>
      </c>
    </row>
    <row r="422" spans="1:2">
      <c r="B422" s="9" t="s">
        <v>896</v>
      </c>
    </row>
    <row r="423" spans="1:2">
      <c r="B423" s="9" t="s">
        <v>2181</v>
      </c>
    </row>
    <row r="424" spans="1:2">
      <c r="B424" s="9" t="s">
        <v>2182</v>
      </c>
    </row>
    <row r="425" spans="1:2">
      <c r="B425" s="9" t="s">
        <v>2183</v>
      </c>
    </row>
    <row r="426" spans="1:2">
      <c r="B426" s="9" t="s">
        <v>1560</v>
      </c>
    </row>
    <row r="427" spans="1:2">
      <c r="B427" s="9" t="s">
        <v>1853</v>
      </c>
    </row>
    <row r="428" spans="1:2">
      <c r="A428" s="9" t="s">
        <v>1565</v>
      </c>
      <c r="B428" s="9" t="s">
        <v>1561</v>
      </c>
    </row>
    <row r="430" spans="1:2">
      <c r="A430" s="9" t="s">
        <v>500</v>
      </c>
      <c r="B430" s="9" t="s">
        <v>790</v>
      </c>
    </row>
    <row r="431" spans="1:2">
      <c r="A431" s="9" t="s">
        <v>2247</v>
      </c>
      <c r="B431" s="9" t="s">
        <v>1925</v>
      </c>
    </row>
    <row r="432" spans="1:2">
      <c r="B432" s="9" t="s">
        <v>453</v>
      </c>
    </row>
    <row r="433" spans="1:2">
      <c r="B433" s="6" t="s">
        <v>1926</v>
      </c>
    </row>
    <row r="434" spans="1:2">
      <c r="A434" s="9" t="s">
        <v>452</v>
      </c>
      <c r="B434" s="6" t="s">
        <v>907</v>
      </c>
    </row>
    <row r="435" spans="1:2">
      <c r="A435" s="9" t="s">
        <v>2178</v>
      </c>
      <c r="B435" s="9" t="s">
        <v>501</v>
      </c>
    </row>
    <row r="436" spans="1:2">
      <c r="B436" s="9" t="s">
        <v>502</v>
      </c>
    </row>
    <row r="437" spans="1:2">
      <c r="B437" s="9" t="s">
        <v>503</v>
      </c>
    </row>
    <row r="438" spans="1:2">
      <c r="B438" s="9" t="s">
        <v>906</v>
      </c>
    </row>
    <row r="439" spans="1:2">
      <c r="B439" s="9" t="s">
        <v>1924</v>
      </c>
    </row>
    <row r="440" spans="1:2">
      <c r="B440" s="9" t="s">
        <v>905</v>
      </c>
    </row>
    <row r="442" spans="1:2">
      <c r="A442" s="9" t="s">
        <v>1477</v>
      </c>
      <c r="B442" s="9" t="s">
        <v>790</v>
      </c>
    </row>
    <row r="443" spans="1:2">
      <c r="A443" s="9" t="s">
        <v>2246</v>
      </c>
      <c r="B443" s="9" t="s">
        <v>1658</v>
      </c>
    </row>
    <row r="444" spans="1:2">
      <c r="B444" s="9" t="s">
        <v>1007</v>
      </c>
    </row>
    <row r="445" spans="1:2">
      <c r="A445" s="9" t="s">
        <v>2247</v>
      </c>
      <c r="B445" s="9" t="s">
        <v>1006</v>
      </c>
    </row>
    <row r="446" spans="1:2">
      <c r="B446" s="9" t="s">
        <v>1206</v>
      </c>
    </row>
    <row r="447" spans="1:2">
      <c r="B447" s="9" t="s">
        <v>1229</v>
      </c>
    </row>
    <row r="448" spans="1:2">
      <c r="B448" s="9" t="s">
        <v>1230</v>
      </c>
    </row>
    <row r="449" spans="1:2">
      <c r="B449" s="9" t="s">
        <v>1407</v>
      </c>
    </row>
    <row r="450" spans="1:2">
      <c r="B450" s="9" t="s">
        <v>1493</v>
      </c>
    </row>
    <row r="451" spans="1:2">
      <c r="B451" s="9" t="s">
        <v>1496</v>
      </c>
    </row>
    <row r="452" spans="1:2">
      <c r="B452" s="9" t="s">
        <v>1503</v>
      </c>
    </row>
    <row r="453" spans="1:2">
      <c r="B453" s="9" t="s">
        <v>1504</v>
      </c>
    </row>
    <row r="454" spans="1:2">
      <c r="B454" s="9" t="s">
        <v>1505</v>
      </c>
    </row>
    <row r="455" spans="1:2">
      <c r="B455" s="9" t="s">
        <v>1506</v>
      </c>
    </row>
    <row r="456" spans="1:2">
      <c r="B456" s="9" t="s">
        <v>1507</v>
      </c>
    </row>
    <row r="457" spans="1:2">
      <c r="B457" s="9" t="s">
        <v>1508</v>
      </c>
    </row>
    <row r="458" spans="1:2">
      <c r="A458" s="9" t="s">
        <v>1565</v>
      </c>
      <c r="B458" s="9" t="s">
        <v>1913</v>
      </c>
    </row>
    <row r="459" spans="1:2">
      <c r="B459" s="9" t="s">
        <v>1509</v>
      </c>
    </row>
    <row r="460" spans="1:2">
      <c r="A460" s="9" t="s">
        <v>2178</v>
      </c>
      <c r="B460" s="9" t="s">
        <v>1481</v>
      </c>
    </row>
    <row r="461" spans="1:2">
      <c r="B461" s="9" t="s">
        <v>1482</v>
      </c>
    </row>
    <row r="462" spans="1:2">
      <c r="B462" s="9" t="s">
        <v>1467</v>
      </c>
    </row>
    <row r="463" spans="1:2">
      <c r="B463" s="9" t="s">
        <v>136</v>
      </c>
    </row>
    <row r="465" spans="1:2">
      <c r="A465" s="9" t="s">
        <v>1478</v>
      </c>
      <c r="B465" s="9" t="s">
        <v>1479</v>
      </c>
    </row>
    <row r="466" spans="1:2">
      <c r="A466" s="9" t="s">
        <v>2247</v>
      </c>
      <c r="B466" s="9" t="s">
        <v>1480</v>
      </c>
    </row>
    <row r="468" spans="1:2">
      <c r="A468" s="9" t="s">
        <v>1061</v>
      </c>
      <c r="B468" s="9" t="s">
        <v>790</v>
      </c>
    </row>
    <row r="469" spans="1:2">
      <c r="A469" s="9" t="s">
        <v>2246</v>
      </c>
      <c r="B469" s="9" t="s">
        <v>1057</v>
      </c>
    </row>
    <row r="470" spans="1:2">
      <c r="A470" s="9" t="s">
        <v>2178</v>
      </c>
      <c r="B470" s="9" t="s">
        <v>283</v>
      </c>
    </row>
    <row r="471" spans="1:2">
      <c r="B471" s="9" t="s">
        <v>284</v>
      </c>
    </row>
    <row r="472" spans="1:2">
      <c r="B472" s="9" t="s">
        <v>285</v>
      </c>
    </row>
    <row r="473" spans="1:2">
      <c r="B473" s="9" t="s">
        <v>286</v>
      </c>
    </row>
    <row r="474" spans="1:2">
      <c r="B474" s="9" t="s">
        <v>287</v>
      </c>
    </row>
    <row r="475" spans="1:2">
      <c r="B475" s="9" t="s">
        <v>288</v>
      </c>
    </row>
    <row r="476" spans="1:2">
      <c r="B476" s="9" t="s">
        <v>289</v>
      </c>
    </row>
    <row r="477" spans="1:2">
      <c r="B477" s="9" t="s">
        <v>1023</v>
      </c>
    </row>
    <row r="478" spans="1:2">
      <c r="B478" s="9" t="s">
        <v>757</v>
      </c>
    </row>
    <row r="479" spans="1:2">
      <c r="B479" s="9" t="s">
        <v>758</v>
      </c>
    </row>
    <row r="480" spans="1:2">
      <c r="B480" s="9" t="s">
        <v>1058</v>
      </c>
    </row>
    <row r="481" spans="1:2">
      <c r="B481" s="9" t="s">
        <v>1060</v>
      </c>
    </row>
    <row r="482" spans="1:2">
      <c r="B482" s="9" t="s">
        <v>1059</v>
      </c>
    </row>
    <row r="484" spans="1:2">
      <c r="A484" s="9" t="s">
        <v>1125</v>
      </c>
      <c r="B484" s="9" t="s">
        <v>790</v>
      </c>
    </row>
    <row r="485" spans="1:2">
      <c r="A485" s="9" t="s">
        <v>2178</v>
      </c>
      <c r="B485" s="9" t="s">
        <v>1126</v>
      </c>
    </row>
    <row r="486" spans="1:2">
      <c r="B486" s="9" t="s">
        <v>1127</v>
      </c>
    </row>
    <row r="487" spans="1:2">
      <c r="A487" s="9" t="s">
        <v>2247</v>
      </c>
      <c r="B487" s="9" t="s">
        <v>1128</v>
      </c>
    </row>
    <row r="488" spans="1:2">
      <c r="B488" s="9" t="s">
        <v>867</v>
      </c>
    </row>
    <row r="490" spans="1:2">
      <c r="A490" s="9" t="s">
        <v>2263</v>
      </c>
      <c r="B490" s="9" t="s">
        <v>790</v>
      </c>
    </row>
    <row r="491" spans="1:2">
      <c r="A491" s="9" t="s">
        <v>2246</v>
      </c>
      <c r="B491" s="9" t="s">
        <v>160</v>
      </c>
    </row>
    <row r="493" spans="1:2">
      <c r="A493" s="9" t="s">
        <v>2262</v>
      </c>
      <c r="B493" s="9" t="s">
        <v>790</v>
      </c>
    </row>
    <row r="494" spans="1:2">
      <c r="A494" s="9" t="s">
        <v>2246</v>
      </c>
      <c r="B494" s="9" t="s">
        <v>1768</v>
      </c>
    </row>
    <row r="495" spans="1:2">
      <c r="B495" s="9" t="s">
        <v>1959</v>
      </c>
    </row>
    <row r="496" spans="1:2">
      <c r="A496" s="9" t="s">
        <v>2247</v>
      </c>
      <c r="B496" s="9" t="s">
        <v>165</v>
      </c>
    </row>
    <row r="497" spans="1:256">
      <c r="A497" s="9" t="s">
        <v>1565</v>
      </c>
      <c r="B497" s="9" t="s">
        <v>162</v>
      </c>
    </row>
    <row r="498" spans="1:256">
      <c r="B498" s="9" t="s">
        <v>1769</v>
      </c>
    </row>
    <row r="499" spans="1:256">
      <c r="A499" s="9" t="s">
        <v>2178</v>
      </c>
      <c r="B499" s="9" t="s">
        <v>530</v>
      </c>
    </row>
    <row r="500" spans="1:256">
      <c r="B500" s="9" t="s">
        <v>529</v>
      </c>
    </row>
    <row r="501" spans="1:256">
      <c r="B501" s="9" t="s">
        <v>230</v>
      </c>
    </row>
    <row r="502" spans="1:256">
      <c r="B502" s="9" t="s">
        <v>166</v>
      </c>
    </row>
    <row r="503" spans="1:256">
      <c r="B503" s="10" t="s">
        <v>1770</v>
      </c>
    </row>
    <row r="504" spans="1:256">
      <c r="B504" s="9" t="s">
        <v>1956</v>
      </c>
    </row>
    <row r="505" spans="1:256">
      <c r="B505" s="10" t="s">
        <v>1957</v>
      </c>
    </row>
    <row r="506" spans="1:256">
      <c r="B506" s="10" t="s">
        <v>1958</v>
      </c>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E506" s="9"/>
      <c r="BF506" s="9"/>
      <c r="BG506" s="9"/>
      <c r="BH506" s="9"/>
      <c r="BI506" s="9"/>
      <c r="BJ506" s="9"/>
      <c r="BK506" s="9"/>
      <c r="BL506" s="9"/>
      <c r="BM506" s="9"/>
      <c r="BN506" s="9"/>
      <c r="BO506" s="9"/>
      <c r="BP506" s="9"/>
      <c r="BQ506" s="9"/>
      <c r="BR506" s="9"/>
      <c r="BS506" s="9"/>
      <c r="BT506" s="9"/>
      <c r="BU506" s="9"/>
      <c r="BV506" s="9"/>
      <c r="BW506" s="9"/>
      <c r="BX506" s="9"/>
      <c r="BY506" s="9"/>
      <c r="BZ506" s="9"/>
      <c r="CA506" s="9"/>
      <c r="CB506" s="9"/>
      <c r="CC506" s="9"/>
      <c r="CD506" s="9"/>
      <c r="CE506" s="9"/>
      <c r="CF506" s="9"/>
      <c r="CG506" s="9"/>
      <c r="CH506" s="9"/>
      <c r="CI506" s="9"/>
      <c r="CJ506" s="9"/>
      <c r="CK506" s="9"/>
      <c r="CL506" s="9"/>
      <c r="CM506" s="9"/>
      <c r="CN506" s="9"/>
      <c r="CO506" s="9"/>
      <c r="CP506" s="9"/>
      <c r="CQ506" s="9"/>
      <c r="CR506" s="9"/>
      <c r="CS506" s="9"/>
      <c r="CT506" s="9"/>
      <c r="CU506" s="9"/>
      <c r="CV506" s="9"/>
      <c r="CW506" s="9"/>
      <c r="CX506" s="9"/>
      <c r="CY506" s="9"/>
      <c r="CZ506" s="9"/>
      <c r="DA506" s="9"/>
      <c r="DB506" s="9"/>
      <c r="DC506" s="9"/>
      <c r="DD506" s="9"/>
      <c r="DE506" s="9"/>
      <c r="DF506" s="9"/>
      <c r="DG506" s="9"/>
      <c r="DH506" s="9"/>
      <c r="DI506" s="9"/>
      <c r="DJ506" s="9"/>
      <c r="DK506" s="9"/>
      <c r="DL506" s="9"/>
      <c r="DM506" s="9"/>
      <c r="DN506" s="9"/>
      <c r="DO506" s="9"/>
      <c r="DP506" s="9"/>
      <c r="DQ506" s="9"/>
      <c r="DR506" s="9"/>
      <c r="DS506" s="9"/>
      <c r="DT506" s="9"/>
      <c r="DU506" s="9"/>
      <c r="DV506" s="9"/>
      <c r="DW506" s="9"/>
      <c r="DX506" s="9"/>
      <c r="DY506" s="9"/>
      <c r="DZ506" s="9"/>
      <c r="EA506" s="9"/>
      <c r="EB506" s="9"/>
      <c r="EC506" s="9"/>
      <c r="ED506" s="9"/>
      <c r="EE506" s="9"/>
      <c r="EF506" s="9"/>
      <c r="EG506" s="9"/>
      <c r="EH506" s="9"/>
      <c r="EI506" s="9"/>
      <c r="EJ506" s="9"/>
      <c r="EK506" s="9"/>
      <c r="EL506" s="9"/>
      <c r="EM506" s="9"/>
      <c r="EN506" s="9"/>
      <c r="EO506" s="9"/>
      <c r="EP506" s="9"/>
      <c r="EQ506" s="9"/>
      <c r="ER506" s="9"/>
      <c r="ES506" s="9"/>
      <c r="ET506" s="9"/>
      <c r="EU506" s="9"/>
      <c r="EV506" s="9"/>
      <c r="EW506" s="9"/>
      <c r="EX506" s="9"/>
      <c r="EY506" s="9"/>
      <c r="EZ506" s="9"/>
      <c r="FA506" s="9"/>
      <c r="FB506" s="9"/>
      <c r="FC506" s="9"/>
      <c r="FD506" s="9"/>
      <c r="FE506" s="9"/>
      <c r="FF506" s="9"/>
      <c r="FG506" s="9"/>
      <c r="FH506" s="9"/>
      <c r="FI506" s="9"/>
      <c r="FJ506" s="9"/>
      <c r="FK506" s="9"/>
      <c r="FL506" s="9"/>
      <c r="FM506" s="9"/>
      <c r="FN506" s="9"/>
      <c r="FO506" s="9"/>
      <c r="FP506" s="9"/>
      <c r="FQ506" s="9"/>
      <c r="FR506" s="9"/>
      <c r="FS506" s="9"/>
      <c r="FT506" s="9"/>
      <c r="FU506" s="9"/>
      <c r="FV506" s="9"/>
      <c r="FW506" s="9"/>
      <c r="FX506" s="9"/>
      <c r="FY506" s="9"/>
      <c r="FZ506" s="9"/>
      <c r="GA506" s="9"/>
      <c r="GB506" s="9"/>
      <c r="GC506" s="9"/>
      <c r="GD506" s="9"/>
      <c r="GE506" s="9"/>
      <c r="GF506" s="9"/>
      <c r="GG506" s="9"/>
      <c r="GH506" s="9"/>
      <c r="GI506" s="9"/>
      <c r="GJ506" s="9"/>
      <c r="GK506" s="9"/>
      <c r="GL506" s="9"/>
      <c r="GM506" s="9"/>
      <c r="GN506" s="9"/>
      <c r="GO506" s="9"/>
      <c r="GP506" s="9"/>
      <c r="GQ506" s="9"/>
      <c r="GR506" s="9"/>
      <c r="GS506" s="9"/>
      <c r="GT506" s="9"/>
      <c r="GU506" s="9"/>
      <c r="GV506" s="9"/>
      <c r="GW506" s="9"/>
      <c r="GX506" s="9"/>
      <c r="GY506" s="9"/>
      <c r="GZ506" s="9"/>
      <c r="HA506" s="9"/>
      <c r="HB506" s="9"/>
      <c r="HC506" s="9"/>
      <c r="HD506" s="9"/>
      <c r="HE506" s="9"/>
      <c r="HF506" s="9"/>
      <c r="HG506" s="9"/>
      <c r="HH506" s="9"/>
      <c r="HI506" s="9"/>
      <c r="HJ506" s="9"/>
      <c r="HK506" s="9"/>
      <c r="HL506" s="9"/>
      <c r="HM506" s="9"/>
      <c r="HN506" s="9"/>
      <c r="HO506" s="9"/>
      <c r="HP506" s="9"/>
      <c r="HQ506" s="9"/>
      <c r="HR506" s="9"/>
      <c r="HS506" s="9"/>
      <c r="HT506" s="9"/>
      <c r="HU506" s="9"/>
      <c r="HV506" s="9"/>
      <c r="HW506" s="9"/>
      <c r="HX506" s="9"/>
      <c r="HY506" s="9"/>
      <c r="HZ506" s="9"/>
      <c r="IA506" s="9"/>
      <c r="IB506" s="9"/>
      <c r="IC506" s="9"/>
      <c r="ID506" s="9"/>
      <c r="IE506" s="9"/>
      <c r="IF506" s="9"/>
      <c r="IG506" s="9"/>
      <c r="IH506" s="9"/>
      <c r="II506" s="9"/>
      <c r="IJ506" s="9"/>
      <c r="IK506" s="9"/>
      <c r="IL506" s="9"/>
      <c r="IM506" s="9"/>
      <c r="IN506" s="9"/>
      <c r="IO506" s="9"/>
      <c r="IP506" s="9"/>
      <c r="IQ506" s="9"/>
      <c r="IR506" s="9"/>
      <c r="IS506" s="9"/>
      <c r="IT506" s="9"/>
      <c r="IU506" s="9"/>
      <c r="IV506" s="9"/>
    </row>
    <row r="507" spans="1:256">
      <c r="B507" s="10" t="s">
        <v>1960</v>
      </c>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E507" s="9"/>
      <c r="BF507" s="9"/>
      <c r="BG507" s="9"/>
      <c r="BH507" s="9"/>
      <c r="BI507" s="9"/>
      <c r="BJ507" s="9"/>
      <c r="BK507" s="9"/>
      <c r="BL507" s="9"/>
      <c r="BM507" s="9"/>
      <c r="BN507" s="9"/>
      <c r="BO507" s="9"/>
      <c r="BP507" s="9"/>
      <c r="BQ507" s="9"/>
      <c r="BR507" s="9"/>
      <c r="BS507" s="9"/>
      <c r="BT507" s="9"/>
      <c r="BU507" s="9"/>
      <c r="BV507" s="9"/>
      <c r="BW507" s="9"/>
      <c r="BX507" s="9"/>
      <c r="BY507" s="9"/>
      <c r="BZ507" s="9"/>
      <c r="CA507" s="9"/>
      <c r="CB507" s="9"/>
      <c r="CC507" s="9"/>
      <c r="CD507" s="9"/>
      <c r="CE507" s="9"/>
      <c r="CF507" s="9"/>
      <c r="CG507" s="9"/>
      <c r="CH507" s="9"/>
      <c r="CI507" s="9"/>
      <c r="CJ507" s="9"/>
      <c r="CK507" s="9"/>
      <c r="CL507" s="9"/>
      <c r="CM507" s="9"/>
      <c r="CN507" s="9"/>
      <c r="CO507" s="9"/>
      <c r="CP507" s="9"/>
      <c r="CQ507" s="9"/>
      <c r="CR507" s="9"/>
      <c r="CS507" s="9"/>
      <c r="CT507" s="9"/>
      <c r="CU507" s="9"/>
      <c r="CV507" s="9"/>
      <c r="CW507" s="9"/>
      <c r="CX507" s="9"/>
      <c r="CY507" s="9"/>
      <c r="CZ507" s="9"/>
      <c r="DA507" s="9"/>
      <c r="DB507" s="9"/>
      <c r="DC507" s="9"/>
      <c r="DD507" s="9"/>
      <c r="DE507" s="9"/>
      <c r="DF507" s="9"/>
      <c r="DG507" s="9"/>
      <c r="DH507" s="9"/>
      <c r="DI507" s="9"/>
      <c r="DJ507" s="9"/>
      <c r="DK507" s="9"/>
      <c r="DL507" s="9"/>
      <c r="DM507" s="9"/>
      <c r="DN507" s="9"/>
      <c r="DO507" s="9"/>
      <c r="DP507" s="9"/>
      <c r="DQ507" s="9"/>
      <c r="DR507" s="9"/>
      <c r="DS507" s="9"/>
      <c r="DT507" s="9"/>
      <c r="DU507" s="9"/>
      <c r="DV507" s="9"/>
      <c r="DW507" s="9"/>
      <c r="DX507" s="9"/>
      <c r="DY507" s="9"/>
      <c r="DZ507" s="9"/>
      <c r="EA507" s="9"/>
      <c r="EB507" s="9"/>
      <c r="EC507" s="9"/>
      <c r="ED507" s="9"/>
      <c r="EE507" s="9"/>
      <c r="EF507" s="9"/>
      <c r="EG507" s="9"/>
      <c r="EH507" s="9"/>
      <c r="EI507" s="9"/>
      <c r="EJ507" s="9"/>
      <c r="EK507" s="9"/>
      <c r="EL507" s="9"/>
      <c r="EM507" s="9"/>
      <c r="EN507" s="9"/>
      <c r="EO507" s="9"/>
      <c r="EP507" s="9"/>
      <c r="EQ507" s="9"/>
      <c r="ER507" s="9"/>
      <c r="ES507" s="9"/>
      <c r="ET507" s="9"/>
      <c r="EU507" s="9"/>
      <c r="EV507" s="9"/>
      <c r="EW507" s="9"/>
      <c r="EX507" s="9"/>
      <c r="EY507" s="9"/>
      <c r="EZ507" s="9"/>
      <c r="FA507" s="9"/>
      <c r="FB507" s="9"/>
      <c r="FC507" s="9"/>
      <c r="FD507" s="9"/>
      <c r="FE507" s="9"/>
      <c r="FF507" s="9"/>
      <c r="FG507" s="9"/>
      <c r="FH507" s="9"/>
      <c r="FI507" s="9"/>
      <c r="FJ507" s="9"/>
      <c r="FK507" s="9"/>
      <c r="FL507" s="9"/>
      <c r="FM507" s="9"/>
      <c r="FN507" s="9"/>
      <c r="FO507" s="9"/>
      <c r="FP507" s="9"/>
      <c r="FQ507" s="9"/>
      <c r="FR507" s="9"/>
      <c r="FS507" s="9"/>
      <c r="FT507" s="9"/>
      <c r="FU507" s="9"/>
      <c r="FV507" s="9"/>
      <c r="FW507" s="9"/>
      <c r="FX507" s="9"/>
      <c r="FY507" s="9"/>
      <c r="FZ507" s="9"/>
      <c r="GA507" s="9"/>
      <c r="GB507" s="9"/>
      <c r="GC507" s="9"/>
      <c r="GD507" s="9"/>
      <c r="GE507" s="9"/>
      <c r="GF507" s="9"/>
      <c r="GG507" s="9"/>
      <c r="GH507" s="9"/>
      <c r="GI507" s="9"/>
      <c r="GJ507" s="9"/>
      <c r="GK507" s="9"/>
      <c r="GL507" s="9"/>
      <c r="GM507" s="9"/>
      <c r="GN507" s="9"/>
      <c r="GO507" s="9"/>
      <c r="GP507" s="9"/>
      <c r="GQ507" s="9"/>
      <c r="GR507" s="9"/>
      <c r="GS507" s="9"/>
      <c r="GT507" s="9"/>
      <c r="GU507" s="9"/>
      <c r="GV507" s="9"/>
      <c r="GW507" s="9"/>
      <c r="GX507" s="9"/>
      <c r="GY507" s="9"/>
      <c r="GZ507" s="9"/>
      <c r="HA507" s="9"/>
      <c r="HB507" s="9"/>
      <c r="HC507" s="9"/>
      <c r="HD507" s="9"/>
      <c r="HE507" s="9"/>
      <c r="HF507" s="9"/>
      <c r="HG507" s="9"/>
      <c r="HH507" s="9"/>
      <c r="HI507" s="9"/>
      <c r="HJ507" s="9"/>
      <c r="HK507" s="9"/>
      <c r="HL507" s="9"/>
      <c r="HM507" s="9"/>
      <c r="HN507" s="9"/>
      <c r="HO507" s="9"/>
      <c r="HP507" s="9"/>
      <c r="HQ507" s="9"/>
      <c r="HR507" s="9"/>
      <c r="HS507" s="9"/>
      <c r="HT507" s="9"/>
      <c r="HU507" s="9"/>
      <c r="HV507" s="9"/>
      <c r="HW507" s="9"/>
      <c r="HX507" s="9"/>
      <c r="HY507" s="9"/>
      <c r="HZ507" s="9"/>
      <c r="IA507" s="9"/>
      <c r="IB507" s="9"/>
      <c r="IC507" s="9"/>
      <c r="ID507" s="9"/>
      <c r="IE507" s="9"/>
      <c r="IF507" s="9"/>
      <c r="IG507" s="9"/>
      <c r="IH507" s="9"/>
      <c r="II507" s="9"/>
      <c r="IJ507" s="9"/>
      <c r="IK507" s="9"/>
      <c r="IL507" s="9"/>
      <c r="IM507" s="9"/>
      <c r="IN507" s="9"/>
      <c r="IO507" s="9"/>
      <c r="IP507" s="9"/>
      <c r="IQ507" s="9"/>
      <c r="IR507" s="9"/>
      <c r="IS507" s="9"/>
      <c r="IT507" s="9"/>
      <c r="IU507" s="9"/>
      <c r="IV507" s="9"/>
    </row>
    <row r="508" spans="1:256">
      <c r="B508" s="10" t="s">
        <v>1961</v>
      </c>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c r="BY508" s="9"/>
      <c r="BZ508" s="9"/>
      <c r="CA508" s="9"/>
      <c r="CB508" s="9"/>
      <c r="CC508" s="9"/>
      <c r="CD508" s="9"/>
      <c r="CE508" s="9"/>
      <c r="CF508" s="9"/>
      <c r="CG508" s="9"/>
      <c r="CH508" s="9"/>
      <c r="CI508" s="9"/>
      <c r="CJ508" s="9"/>
      <c r="CK508" s="9"/>
      <c r="CL508" s="9"/>
      <c r="CM508" s="9"/>
      <c r="CN508" s="9"/>
      <c r="CO508" s="9"/>
      <c r="CP508" s="9"/>
      <c r="CQ508" s="9"/>
      <c r="CR508" s="9"/>
      <c r="CS508" s="9"/>
      <c r="CT508" s="9"/>
      <c r="CU508" s="9"/>
      <c r="CV508" s="9"/>
      <c r="CW508" s="9"/>
      <c r="CX508" s="9"/>
      <c r="CY508" s="9"/>
      <c r="CZ508" s="9"/>
      <c r="DA508" s="9"/>
      <c r="DB508" s="9"/>
      <c r="DC508" s="9"/>
      <c r="DD508" s="9"/>
      <c r="DE508" s="9"/>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9"/>
      <c r="FL508" s="9"/>
      <c r="FM508" s="9"/>
      <c r="FN508" s="9"/>
      <c r="FO508" s="9"/>
      <c r="FP508" s="9"/>
      <c r="FQ508" s="9"/>
      <c r="FR508" s="9"/>
      <c r="FS508" s="9"/>
      <c r="FT508" s="9"/>
      <c r="FU508" s="9"/>
      <c r="FV508" s="9"/>
      <c r="FW508" s="9"/>
      <c r="FX508" s="9"/>
      <c r="FY508" s="9"/>
      <c r="FZ508" s="9"/>
      <c r="GA508" s="9"/>
      <c r="GB508" s="9"/>
      <c r="GC508" s="9"/>
      <c r="GD508" s="9"/>
      <c r="GE508" s="9"/>
      <c r="GF508" s="9"/>
      <c r="GG508" s="9"/>
      <c r="GH508" s="9"/>
      <c r="GI508" s="9"/>
      <c r="GJ508" s="9"/>
      <c r="GK508" s="9"/>
      <c r="GL508" s="9"/>
      <c r="GM508" s="9"/>
      <c r="GN508" s="9"/>
      <c r="GO508" s="9"/>
      <c r="GP508" s="9"/>
      <c r="GQ508" s="9"/>
      <c r="GR508" s="9"/>
      <c r="GS508" s="9"/>
      <c r="GT508" s="9"/>
      <c r="GU508" s="9"/>
      <c r="GV508" s="9"/>
      <c r="GW508" s="9"/>
      <c r="GX508" s="9"/>
      <c r="GY508" s="9"/>
      <c r="GZ508" s="9"/>
      <c r="HA508" s="9"/>
      <c r="HB508" s="9"/>
      <c r="HC508" s="9"/>
      <c r="HD508" s="9"/>
      <c r="HE508" s="9"/>
      <c r="HF508" s="9"/>
      <c r="HG508" s="9"/>
      <c r="HH508" s="9"/>
      <c r="HI508" s="9"/>
      <c r="HJ508" s="9"/>
      <c r="HK508" s="9"/>
      <c r="HL508" s="9"/>
      <c r="HM508" s="9"/>
      <c r="HN508" s="9"/>
      <c r="HO508" s="9"/>
      <c r="HP508" s="9"/>
      <c r="HQ508" s="9"/>
      <c r="HR508" s="9"/>
      <c r="HS508" s="9"/>
      <c r="HT508" s="9"/>
      <c r="HU508" s="9"/>
      <c r="HV508" s="9"/>
      <c r="HW508" s="9"/>
      <c r="HX508" s="9"/>
      <c r="HY508" s="9"/>
      <c r="HZ508" s="9"/>
      <c r="IA508" s="9"/>
      <c r="IB508" s="9"/>
      <c r="IC508" s="9"/>
      <c r="ID508" s="9"/>
      <c r="IE508" s="9"/>
      <c r="IF508" s="9"/>
      <c r="IG508" s="9"/>
      <c r="IH508" s="9"/>
      <c r="II508" s="9"/>
      <c r="IJ508" s="9"/>
      <c r="IK508" s="9"/>
      <c r="IL508" s="9"/>
      <c r="IM508" s="9"/>
      <c r="IN508" s="9"/>
      <c r="IO508" s="9"/>
      <c r="IP508" s="9"/>
      <c r="IQ508" s="9"/>
      <c r="IR508" s="9"/>
      <c r="IS508" s="9"/>
      <c r="IT508" s="9"/>
      <c r="IU508" s="9"/>
      <c r="IV508" s="9"/>
    </row>
    <row r="509" spans="1:256">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c r="BY509" s="9"/>
      <c r="BZ509" s="9"/>
      <c r="CA509" s="9"/>
      <c r="CB509" s="9"/>
      <c r="CC509" s="9"/>
      <c r="CD509" s="9"/>
      <c r="CE509" s="9"/>
      <c r="CF509" s="9"/>
      <c r="CG509" s="9"/>
      <c r="CH509" s="9"/>
      <c r="CI509" s="9"/>
      <c r="CJ509" s="9"/>
      <c r="CK509" s="9"/>
      <c r="CL509" s="9"/>
      <c r="CM509" s="9"/>
      <c r="CN509" s="9"/>
      <c r="CO509" s="9"/>
      <c r="CP509" s="9"/>
      <c r="CQ509" s="9"/>
      <c r="CR509" s="9"/>
      <c r="CS509" s="9"/>
      <c r="CT509" s="9"/>
      <c r="CU509" s="9"/>
      <c r="CV509" s="9"/>
      <c r="CW509" s="9"/>
      <c r="CX509" s="9"/>
      <c r="CY509" s="9"/>
      <c r="CZ509" s="9"/>
      <c r="DA509" s="9"/>
      <c r="DB509" s="9"/>
      <c r="DC509" s="9"/>
      <c r="DD509" s="9"/>
      <c r="DE509" s="9"/>
      <c r="DF509" s="9"/>
      <c r="DG509" s="9"/>
      <c r="DH509" s="9"/>
      <c r="DI509" s="9"/>
      <c r="DJ509" s="9"/>
      <c r="DK509" s="9"/>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c r="FW509" s="9"/>
      <c r="FX509" s="9"/>
      <c r="FY509" s="9"/>
      <c r="FZ509" s="9"/>
      <c r="GA509" s="9"/>
      <c r="GB509" s="9"/>
      <c r="GC509" s="9"/>
      <c r="GD509" s="9"/>
      <c r="GE509" s="9"/>
      <c r="GF509" s="9"/>
      <c r="GG509" s="9"/>
      <c r="GH509" s="9"/>
      <c r="GI509" s="9"/>
      <c r="GJ509" s="9"/>
      <c r="GK509" s="9"/>
      <c r="GL509" s="9"/>
      <c r="GM509" s="9"/>
      <c r="GN509" s="9"/>
      <c r="GO509" s="9"/>
      <c r="GP509" s="9"/>
      <c r="GQ509" s="9"/>
      <c r="GR509" s="9"/>
      <c r="GS509" s="9"/>
      <c r="GT509" s="9"/>
      <c r="GU509" s="9"/>
      <c r="GV509" s="9"/>
      <c r="GW509" s="9"/>
      <c r="GX509" s="9"/>
      <c r="GY509" s="9"/>
      <c r="GZ509" s="9"/>
      <c r="HA509" s="9"/>
      <c r="HB509" s="9"/>
      <c r="HC509" s="9"/>
      <c r="HD509" s="9"/>
      <c r="HE509" s="9"/>
      <c r="HF509" s="9"/>
      <c r="HG509" s="9"/>
      <c r="HH509" s="9"/>
      <c r="HI509" s="9"/>
      <c r="HJ509" s="9"/>
      <c r="HK509" s="9"/>
      <c r="HL509" s="9"/>
      <c r="HM509" s="9"/>
      <c r="HN509" s="9"/>
      <c r="HO509" s="9"/>
      <c r="HP509" s="9"/>
      <c r="HQ509" s="9"/>
      <c r="HR509" s="9"/>
      <c r="HS509" s="9"/>
      <c r="HT509" s="9"/>
      <c r="HU509" s="9"/>
      <c r="HV509" s="9"/>
      <c r="HW509" s="9"/>
      <c r="HX509" s="9"/>
      <c r="HY509" s="9"/>
      <c r="HZ509" s="9"/>
      <c r="IA509" s="9"/>
      <c r="IB509" s="9"/>
      <c r="IC509" s="9"/>
      <c r="ID509" s="9"/>
      <c r="IE509" s="9"/>
      <c r="IF509" s="9"/>
      <c r="IG509" s="9"/>
      <c r="IH509" s="9"/>
      <c r="II509" s="9"/>
      <c r="IJ509" s="9"/>
      <c r="IK509" s="9"/>
      <c r="IL509" s="9"/>
      <c r="IM509" s="9"/>
      <c r="IN509" s="9"/>
      <c r="IO509" s="9"/>
      <c r="IP509" s="9"/>
      <c r="IQ509" s="9"/>
      <c r="IR509" s="9"/>
      <c r="IS509" s="9"/>
      <c r="IT509" s="9"/>
      <c r="IU509" s="9"/>
      <c r="IV509" s="9"/>
    </row>
    <row r="510" spans="1:256">
      <c r="A510" s="9" t="s">
        <v>823</v>
      </c>
      <c r="B510" s="9" t="s">
        <v>1671</v>
      </c>
      <c r="C510" s="9"/>
      <c r="D510" s="10"/>
      <c r="E510" s="9"/>
      <c r="F510" s="10"/>
      <c r="G510" s="9"/>
      <c r="H510" s="10"/>
      <c r="I510" s="9"/>
      <c r="J510" s="10"/>
      <c r="K510" s="9"/>
      <c r="L510" s="10"/>
      <c r="M510" s="9"/>
      <c r="N510" s="10"/>
      <c r="O510" s="9"/>
      <c r="P510" s="10"/>
      <c r="Q510" s="9"/>
      <c r="R510" s="10"/>
      <c r="S510" s="9"/>
      <c r="T510" s="10"/>
      <c r="U510" s="9"/>
      <c r="V510" s="10"/>
      <c r="W510" s="9"/>
      <c r="X510" s="10"/>
      <c r="Y510" s="9"/>
      <c r="Z510" s="10"/>
      <c r="AA510" s="9"/>
      <c r="AB510" s="10"/>
      <c r="AC510" s="9"/>
      <c r="AD510" s="10"/>
      <c r="AE510" s="9"/>
      <c r="AF510" s="10"/>
      <c r="AG510" s="9"/>
      <c r="AH510" s="10"/>
      <c r="AI510" s="9"/>
      <c r="AJ510" s="10"/>
      <c r="AK510" s="9"/>
      <c r="AL510" s="10"/>
      <c r="AM510" s="9"/>
      <c r="AN510" s="10"/>
      <c r="AO510" s="9"/>
      <c r="AP510" s="10"/>
      <c r="AQ510" s="9"/>
      <c r="AR510" s="10"/>
      <c r="AS510" s="9"/>
      <c r="AT510" s="10"/>
      <c r="AU510" s="9"/>
      <c r="AV510" s="10"/>
      <c r="AW510" s="9"/>
      <c r="AX510" s="10"/>
      <c r="AY510" s="9"/>
      <c r="AZ510" s="10"/>
      <c r="BA510" s="9"/>
      <c r="BB510" s="10"/>
      <c r="BC510" s="9"/>
      <c r="BD510" s="10"/>
      <c r="BE510" s="9"/>
      <c r="BF510" s="10"/>
      <c r="BG510" s="9"/>
      <c r="BH510" s="10"/>
      <c r="BI510" s="9"/>
      <c r="BJ510" s="10"/>
      <c r="BK510" s="9"/>
      <c r="BL510" s="10"/>
      <c r="BM510" s="9"/>
      <c r="BN510" s="10"/>
      <c r="BO510" s="9"/>
      <c r="BP510" s="10"/>
      <c r="BQ510" s="9"/>
      <c r="BR510" s="10"/>
      <c r="BS510" s="9"/>
      <c r="BT510" s="10"/>
      <c r="BU510" s="9"/>
      <c r="BV510" s="10"/>
      <c r="BW510" s="9"/>
      <c r="BX510" s="10"/>
      <c r="BY510" s="9"/>
      <c r="BZ510" s="10"/>
      <c r="CA510" s="9"/>
      <c r="CB510" s="10"/>
      <c r="CC510" s="9"/>
      <c r="CD510" s="10"/>
      <c r="CE510" s="9"/>
      <c r="CF510" s="10"/>
      <c r="CG510" s="9"/>
      <c r="CH510" s="10"/>
      <c r="CI510" s="9"/>
      <c r="CJ510" s="10"/>
      <c r="CK510" s="9"/>
      <c r="CL510" s="10"/>
      <c r="CM510" s="9"/>
      <c r="CN510" s="10"/>
      <c r="CO510" s="9"/>
      <c r="CP510" s="10"/>
      <c r="CQ510" s="9"/>
      <c r="CR510" s="10"/>
      <c r="CS510" s="9"/>
      <c r="CT510" s="10"/>
      <c r="CU510" s="9"/>
      <c r="CV510" s="10"/>
      <c r="CW510" s="9"/>
      <c r="CX510" s="10"/>
      <c r="CY510" s="9"/>
      <c r="CZ510" s="10"/>
      <c r="DA510" s="9"/>
      <c r="DB510" s="10"/>
      <c r="DC510" s="9"/>
      <c r="DD510" s="10"/>
      <c r="DE510" s="9"/>
      <c r="DF510" s="10"/>
      <c r="DG510" s="9"/>
      <c r="DH510" s="10"/>
      <c r="DI510" s="9"/>
      <c r="DJ510" s="10"/>
      <c r="DK510" s="9"/>
      <c r="DL510" s="10"/>
      <c r="DM510" s="9"/>
      <c r="DN510" s="10"/>
      <c r="DO510" s="9"/>
      <c r="DP510" s="10"/>
      <c r="DQ510" s="9"/>
      <c r="DR510" s="10"/>
      <c r="DS510" s="9"/>
      <c r="DT510" s="10"/>
      <c r="DU510" s="9"/>
      <c r="DV510" s="10"/>
      <c r="DW510" s="9"/>
      <c r="DX510" s="10"/>
      <c r="DY510" s="9"/>
      <c r="DZ510" s="10"/>
      <c r="EA510" s="9"/>
      <c r="EB510" s="10"/>
      <c r="EC510" s="9"/>
      <c r="ED510" s="10"/>
      <c r="EE510" s="9"/>
      <c r="EF510" s="10"/>
      <c r="EG510" s="9"/>
      <c r="EH510" s="10"/>
      <c r="EI510" s="9"/>
      <c r="EJ510" s="10"/>
      <c r="EK510" s="9"/>
      <c r="EL510" s="10"/>
      <c r="EM510" s="9"/>
      <c r="EN510" s="10"/>
      <c r="EO510" s="9"/>
      <c r="EP510" s="10"/>
      <c r="EQ510" s="9"/>
      <c r="ER510" s="10"/>
      <c r="ES510" s="9"/>
      <c r="ET510" s="10"/>
      <c r="EU510" s="9"/>
      <c r="EV510" s="10"/>
      <c r="EW510" s="9"/>
      <c r="EX510" s="10"/>
      <c r="EY510" s="9"/>
      <c r="EZ510" s="10"/>
      <c r="FA510" s="9"/>
      <c r="FB510" s="10"/>
      <c r="FC510" s="9"/>
      <c r="FD510" s="10"/>
      <c r="FE510" s="9"/>
      <c r="FF510" s="10"/>
      <c r="FG510" s="9"/>
      <c r="FH510" s="10"/>
      <c r="FI510" s="9"/>
      <c r="FJ510" s="10"/>
      <c r="FK510" s="9"/>
      <c r="FL510" s="10"/>
      <c r="FM510" s="9"/>
      <c r="FN510" s="10"/>
      <c r="FO510" s="9"/>
      <c r="FP510" s="10"/>
      <c r="FQ510" s="9"/>
      <c r="FR510" s="10"/>
      <c r="FS510" s="9"/>
      <c r="FT510" s="10"/>
      <c r="FU510" s="9"/>
      <c r="FV510" s="10"/>
      <c r="FW510" s="9"/>
      <c r="FX510" s="10"/>
      <c r="FY510" s="9"/>
      <c r="FZ510" s="10"/>
      <c r="GA510" s="9"/>
      <c r="GB510" s="10"/>
      <c r="GC510" s="9"/>
      <c r="GD510" s="10"/>
      <c r="GE510" s="9"/>
      <c r="GF510" s="10"/>
      <c r="GG510" s="9"/>
      <c r="GH510" s="10"/>
      <c r="GI510" s="9"/>
      <c r="GJ510" s="10"/>
      <c r="GK510" s="9"/>
      <c r="GL510" s="10"/>
      <c r="GM510" s="9"/>
      <c r="GN510" s="10"/>
      <c r="GO510" s="9"/>
      <c r="GP510" s="10"/>
      <c r="GQ510" s="9"/>
      <c r="GR510" s="10"/>
      <c r="GS510" s="9"/>
      <c r="GT510" s="10"/>
      <c r="GU510" s="9"/>
      <c r="GV510" s="10"/>
      <c r="GW510" s="9"/>
      <c r="GX510" s="10"/>
      <c r="GY510" s="9"/>
      <c r="GZ510" s="10"/>
      <c r="HA510" s="9"/>
      <c r="HB510" s="10"/>
      <c r="HC510" s="9"/>
      <c r="HD510" s="10"/>
      <c r="HE510" s="9"/>
      <c r="HF510" s="10"/>
      <c r="HG510" s="9"/>
      <c r="HH510" s="10"/>
      <c r="HI510" s="9"/>
      <c r="HJ510" s="10"/>
      <c r="HK510" s="9"/>
      <c r="HL510" s="10"/>
      <c r="HM510" s="9"/>
      <c r="HN510" s="10"/>
      <c r="HO510" s="9"/>
      <c r="HP510" s="10"/>
      <c r="HQ510" s="9"/>
      <c r="HR510" s="10"/>
      <c r="HS510" s="9"/>
      <c r="HT510" s="10"/>
      <c r="HU510" s="9"/>
      <c r="HV510" s="10"/>
      <c r="HW510" s="9"/>
      <c r="HX510" s="10"/>
      <c r="HY510" s="9"/>
      <c r="HZ510" s="10"/>
      <c r="IA510" s="9"/>
      <c r="IB510" s="10"/>
      <c r="IC510" s="9"/>
      <c r="ID510" s="10"/>
      <c r="IE510" s="9"/>
      <c r="IF510" s="10"/>
      <c r="IG510" s="9"/>
      <c r="IH510" s="10"/>
      <c r="II510" s="9"/>
      <c r="IJ510" s="10"/>
      <c r="IK510" s="9"/>
      <c r="IL510" s="10"/>
      <c r="IM510" s="9"/>
      <c r="IN510" s="10"/>
      <c r="IO510" s="9"/>
      <c r="IP510" s="10"/>
      <c r="IQ510" s="9"/>
      <c r="IR510" s="10"/>
      <c r="IS510" s="9"/>
      <c r="IT510" s="10"/>
      <c r="IU510" s="9"/>
      <c r="IV510" s="10"/>
    </row>
    <row r="511" spans="1:256">
      <c r="A511" s="9" t="s">
        <v>2246</v>
      </c>
      <c r="B511" s="9" t="s">
        <v>1672</v>
      </c>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B512" s="9" t="s">
        <v>1241</v>
      </c>
      <c r="C512" s="9"/>
      <c r="D512" s="10"/>
      <c r="E512" s="9"/>
      <c r="F512" s="10"/>
      <c r="G512" s="9"/>
      <c r="H512" s="10"/>
      <c r="I512" s="9"/>
      <c r="J512" s="10"/>
      <c r="K512" s="9"/>
      <c r="L512" s="10"/>
      <c r="M512" s="9"/>
      <c r="N512" s="10"/>
      <c r="O512" s="9"/>
      <c r="P512" s="10"/>
      <c r="Q512" s="9"/>
      <c r="R512" s="10"/>
      <c r="S512" s="9"/>
      <c r="T512" s="10"/>
      <c r="U512" s="9"/>
      <c r="V512" s="10"/>
      <c r="W512" s="9"/>
      <c r="X512" s="10"/>
      <c r="Y512" s="9"/>
      <c r="Z512" s="10"/>
      <c r="AA512" s="9"/>
      <c r="AB512" s="10"/>
      <c r="AC512" s="9"/>
      <c r="AD512" s="10"/>
      <c r="AE512" s="9"/>
      <c r="AF512" s="10"/>
      <c r="AG512" s="9"/>
      <c r="AH512" s="10"/>
      <c r="AI512" s="9"/>
      <c r="AJ512" s="10"/>
      <c r="AK512" s="9"/>
      <c r="AL512" s="10"/>
      <c r="AM512" s="9"/>
      <c r="AN512" s="10"/>
      <c r="AO512" s="9"/>
      <c r="AP512" s="10"/>
      <c r="AQ512" s="9"/>
      <c r="AR512" s="10"/>
      <c r="AS512" s="9"/>
      <c r="AT512" s="10"/>
      <c r="AU512" s="9"/>
      <c r="AV512" s="10"/>
      <c r="AW512" s="9"/>
      <c r="AX512" s="10"/>
      <c r="AY512" s="9"/>
      <c r="AZ512" s="10"/>
      <c r="BA512" s="9"/>
      <c r="BB512" s="10"/>
      <c r="BC512" s="9"/>
      <c r="BD512" s="10"/>
      <c r="BE512" s="9"/>
      <c r="BF512" s="10"/>
      <c r="BG512" s="9"/>
      <c r="BH512" s="10"/>
      <c r="BI512" s="9"/>
      <c r="BJ512" s="10"/>
      <c r="BK512" s="9"/>
      <c r="BL512" s="10"/>
      <c r="BM512" s="9"/>
      <c r="BN512" s="10"/>
      <c r="BO512" s="9"/>
      <c r="BP512" s="10"/>
      <c r="BQ512" s="9"/>
      <c r="BR512" s="10"/>
      <c r="BS512" s="9"/>
      <c r="BT512" s="10"/>
      <c r="BU512" s="9"/>
      <c r="BV512" s="10"/>
      <c r="BW512" s="9"/>
      <c r="BX512" s="10"/>
      <c r="BY512" s="9"/>
      <c r="BZ512" s="10"/>
      <c r="CA512" s="9"/>
      <c r="CB512" s="10"/>
      <c r="CC512" s="9"/>
      <c r="CD512" s="10"/>
      <c r="CE512" s="9"/>
      <c r="CF512" s="10"/>
      <c r="CG512" s="9"/>
      <c r="CH512" s="10"/>
      <c r="CI512" s="9"/>
      <c r="CJ512" s="10"/>
      <c r="CK512" s="9"/>
      <c r="CL512" s="10"/>
      <c r="CM512" s="9"/>
      <c r="CN512" s="10"/>
      <c r="CO512" s="9"/>
      <c r="CP512" s="10"/>
      <c r="CQ512" s="9"/>
      <c r="CR512" s="10"/>
      <c r="CS512" s="9"/>
      <c r="CT512" s="10"/>
      <c r="CU512" s="9"/>
      <c r="CV512" s="10"/>
      <c r="CW512" s="9"/>
      <c r="CX512" s="10"/>
      <c r="CY512" s="9"/>
      <c r="CZ512" s="10"/>
      <c r="DA512" s="9"/>
      <c r="DB512" s="10"/>
      <c r="DC512" s="9"/>
      <c r="DD512" s="10"/>
      <c r="DE512" s="9"/>
      <c r="DF512" s="10"/>
      <c r="DG512" s="9"/>
      <c r="DH512" s="10"/>
      <c r="DI512" s="9"/>
      <c r="DJ512" s="10"/>
      <c r="DK512" s="9"/>
      <c r="DL512" s="10"/>
      <c r="DM512" s="9"/>
      <c r="DN512" s="10"/>
      <c r="DO512" s="9"/>
      <c r="DP512" s="10"/>
      <c r="DQ512" s="9"/>
      <c r="DR512" s="10"/>
      <c r="DS512" s="9"/>
      <c r="DT512" s="10"/>
      <c r="DU512" s="9"/>
      <c r="DV512" s="10"/>
      <c r="DW512" s="9"/>
      <c r="DX512" s="10"/>
      <c r="DY512" s="9"/>
      <c r="DZ512" s="10"/>
      <c r="EA512" s="9"/>
      <c r="EB512" s="10"/>
      <c r="EC512" s="9"/>
      <c r="ED512" s="10"/>
      <c r="EE512" s="9"/>
      <c r="EF512" s="10"/>
      <c r="EG512" s="9"/>
      <c r="EH512" s="10"/>
      <c r="EI512" s="9"/>
      <c r="EJ512" s="10"/>
      <c r="EK512" s="9"/>
      <c r="EL512" s="10"/>
      <c r="EM512" s="9"/>
      <c r="EN512" s="10"/>
      <c r="EO512" s="9"/>
      <c r="EP512" s="10"/>
      <c r="EQ512" s="9"/>
      <c r="ER512" s="10"/>
      <c r="ES512" s="9"/>
      <c r="ET512" s="10"/>
      <c r="EU512" s="9"/>
      <c r="EV512" s="10"/>
      <c r="EW512" s="9"/>
      <c r="EX512" s="10"/>
      <c r="EY512" s="9"/>
      <c r="EZ512" s="10"/>
      <c r="FA512" s="9"/>
      <c r="FB512" s="10"/>
      <c r="FC512" s="9"/>
      <c r="FD512" s="10"/>
      <c r="FE512" s="9"/>
      <c r="FF512" s="10"/>
      <c r="FG512" s="9"/>
      <c r="FH512" s="10"/>
      <c r="FI512" s="9"/>
      <c r="FJ512" s="10"/>
      <c r="FK512" s="9"/>
      <c r="FL512" s="10"/>
      <c r="FM512" s="9"/>
      <c r="FN512" s="10"/>
      <c r="FO512" s="9"/>
      <c r="FP512" s="10"/>
      <c r="FQ512" s="9"/>
      <c r="FR512" s="10"/>
      <c r="FS512" s="9"/>
      <c r="FT512" s="10"/>
      <c r="FU512" s="9"/>
      <c r="FV512" s="10"/>
      <c r="FW512" s="9"/>
      <c r="FX512" s="10"/>
      <c r="FY512" s="9"/>
      <c r="FZ512" s="10"/>
      <c r="GA512" s="9"/>
      <c r="GB512" s="10"/>
      <c r="GC512" s="9"/>
      <c r="GD512" s="10"/>
      <c r="GE512" s="9"/>
      <c r="GF512" s="10"/>
      <c r="GG512" s="9"/>
      <c r="GH512" s="10"/>
      <c r="GI512" s="9"/>
      <c r="GJ512" s="10"/>
      <c r="GK512" s="9"/>
      <c r="GL512" s="10"/>
      <c r="GM512" s="9"/>
      <c r="GN512" s="10"/>
      <c r="GO512" s="9"/>
      <c r="GP512" s="10"/>
      <c r="GQ512" s="9"/>
      <c r="GR512" s="10"/>
      <c r="GS512" s="9"/>
      <c r="GT512" s="10"/>
      <c r="GU512" s="9"/>
      <c r="GV512" s="10"/>
      <c r="GW512" s="9"/>
      <c r="GX512" s="10"/>
      <c r="GY512" s="9"/>
      <c r="GZ512" s="10"/>
      <c r="HA512" s="9"/>
      <c r="HB512" s="10"/>
      <c r="HC512" s="9"/>
      <c r="HD512" s="10"/>
      <c r="HE512" s="9"/>
      <c r="HF512" s="10"/>
      <c r="HG512" s="9"/>
      <c r="HH512" s="10"/>
      <c r="HI512" s="9"/>
      <c r="HJ512" s="10"/>
      <c r="HK512" s="9"/>
      <c r="HL512" s="10"/>
      <c r="HM512" s="9"/>
      <c r="HN512" s="10"/>
      <c r="HO512" s="9"/>
      <c r="HP512" s="10"/>
      <c r="HQ512" s="9"/>
      <c r="HR512" s="10"/>
      <c r="HS512" s="9"/>
      <c r="HT512" s="10"/>
      <c r="HU512" s="9"/>
      <c r="HV512" s="10"/>
      <c r="HW512" s="9"/>
      <c r="HX512" s="10"/>
      <c r="HY512" s="9"/>
      <c r="HZ512" s="10"/>
      <c r="IA512" s="9"/>
      <c r="IB512" s="10"/>
      <c r="IC512" s="9"/>
      <c r="ID512" s="10"/>
      <c r="IE512" s="9"/>
      <c r="IF512" s="10"/>
      <c r="IG512" s="9"/>
      <c r="IH512" s="10"/>
      <c r="II512" s="9"/>
      <c r="IJ512" s="10"/>
      <c r="IK512" s="9"/>
      <c r="IL512" s="10"/>
      <c r="IM512" s="9"/>
      <c r="IN512" s="10"/>
      <c r="IO512" s="9"/>
      <c r="IP512" s="10"/>
      <c r="IQ512" s="9"/>
      <c r="IR512" s="10"/>
      <c r="IS512" s="9"/>
      <c r="IT512" s="10"/>
      <c r="IU512" s="9"/>
      <c r="IV512" s="10"/>
    </row>
    <row r="513" spans="1:256">
      <c r="B513" s="9" t="s">
        <v>2175</v>
      </c>
      <c r="C513" s="9"/>
      <c r="D513" s="10"/>
      <c r="E513" s="9"/>
      <c r="F513" s="10"/>
      <c r="G513" s="9"/>
      <c r="H513" s="10"/>
      <c r="I513" s="9"/>
      <c r="J513" s="10"/>
      <c r="K513" s="9"/>
      <c r="L513" s="10"/>
      <c r="M513" s="9"/>
      <c r="N513" s="10"/>
      <c r="O513" s="9"/>
      <c r="P513" s="10"/>
      <c r="Q513" s="9"/>
      <c r="R513" s="10"/>
      <c r="S513" s="9"/>
      <c r="T513" s="10"/>
      <c r="U513" s="9"/>
      <c r="V513" s="10"/>
      <c r="W513" s="9"/>
      <c r="X513" s="10"/>
      <c r="Y513" s="9"/>
      <c r="Z513" s="10"/>
      <c r="AA513" s="9"/>
      <c r="AB513" s="10"/>
      <c r="AC513" s="9"/>
      <c r="AD513" s="10"/>
      <c r="AE513" s="9"/>
      <c r="AF513" s="10"/>
      <c r="AG513" s="9"/>
      <c r="AH513" s="10"/>
      <c r="AI513" s="9"/>
      <c r="AJ513" s="10"/>
      <c r="AK513" s="9"/>
      <c r="AL513" s="10"/>
      <c r="AM513" s="9"/>
      <c r="AN513" s="10"/>
      <c r="AO513" s="9"/>
      <c r="AP513" s="10"/>
      <c r="AQ513" s="9"/>
      <c r="AR513" s="10"/>
      <c r="AS513" s="9"/>
      <c r="AT513" s="10"/>
      <c r="AU513" s="9"/>
      <c r="AV513" s="10"/>
      <c r="AW513" s="9"/>
      <c r="AX513" s="10"/>
      <c r="AY513" s="9"/>
      <c r="AZ513" s="10"/>
      <c r="BA513" s="9"/>
      <c r="BB513" s="10"/>
      <c r="BC513" s="9"/>
      <c r="BD513" s="10"/>
      <c r="BE513" s="9"/>
      <c r="BF513" s="10"/>
      <c r="BG513" s="9"/>
      <c r="BH513" s="10"/>
      <c r="BI513" s="9"/>
      <c r="BJ513" s="10"/>
      <c r="BK513" s="9"/>
      <c r="BL513" s="10"/>
      <c r="BM513" s="9"/>
      <c r="BN513" s="10"/>
      <c r="BO513" s="9"/>
      <c r="BP513" s="10"/>
      <c r="BQ513" s="9"/>
      <c r="BR513" s="10"/>
      <c r="BS513" s="9"/>
      <c r="BT513" s="10"/>
      <c r="BU513" s="9"/>
      <c r="BV513" s="10"/>
      <c r="BW513" s="9"/>
      <c r="BX513" s="10"/>
      <c r="BY513" s="9"/>
      <c r="BZ513" s="10"/>
      <c r="CA513" s="9"/>
      <c r="CB513" s="10"/>
      <c r="CC513" s="9"/>
      <c r="CD513" s="10"/>
      <c r="CE513" s="9"/>
      <c r="CF513" s="10"/>
      <c r="CG513" s="9"/>
      <c r="CH513" s="10"/>
      <c r="CI513" s="9"/>
      <c r="CJ513" s="10"/>
      <c r="CK513" s="9"/>
      <c r="CL513" s="10"/>
      <c r="CM513" s="9"/>
      <c r="CN513" s="10"/>
      <c r="CO513" s="9"/>
      <c r="CP513" s="10"/>
      <c r="CQ513" s="9"/>
      <c r="CR513" s="10"/>
      <c r="CS513" s="9"/>
      <c r="CT513" s="10"/>
      <c r="CU513" s="9"/>
      <c r="CV513" s="10"/>
      <c r="CW513" s="9"/>
      <c r="CX513" s="10"/>
      <c r="CY513" s="9"/>
      <c r="CZ513" s="10"/>
      <c r="DA513" s="9"/>
      <c r="DB513" s="10"/>
      <c r="DC513" s="9"/>
      <c r="DD513" s="10"/>
      <c r="DE513" s="9"/>
      <c r="DF513" s="10"/>
      <c r="DG513" s="9"/>
      <c r="DH513" s="10"/>
      <c r="DI513" s="9"/>
      <c r="DJ513" s="10"/>
      <c r="DK513" s="9"/>
      <c r="DL513" s="10"/>
      <c r="DM513" s="9"/>
      <c r="DN513" s="10"/>
      <c r="DO513" s="9"/>
      <c r="DP513" s="10"/>
      <c r="DQ513" s="9"/>
      <c r="DR513" s="10"/>
      <c r="DS513" s="9"/>
      <c r="DT513" s="10"/>
      <c r="DU513" s="9"/>
      <c r="DV513" s="10"/>
      <c r="DW513" s="9"/>
      <c r="DX513" s="10"/>
      <c r="DY513" s="9"/>
      <c r="DZ513" s="10"/>
      <c r="EA513" s="9"/>
      <c r="EB513" s="10"/>
      <c r="EC513" s="9"/>
      <c r="ED513" s="10"/>
      <c r="EE513" s="9"/>
      <c r="EF513" s="10"/>
      <c r="EG513" s="9"/>
      <c r="EH513" s="10"/>
      <c r="EI513" s="9"/>
      <c r="EJ513" s="10"/>
      <c r="EK513" s="9"/>
      <c r="EL513" s="10"/>
      <c r="EM513" s="9"/>
      <c r="EN513" s="10"/>
      <c r="EO513" s="9"/>
      <c r="EP513" s="10"/>
      <c r="EQ513" s="9"/>
      <c r="ER513" s="10"/>
      <c r="ES513" s="9"/>
      <c r="ET513" s="10"/>
      <c r="EU513" s="9"/>
      <c r="EV513" s="10"/>
      <c r="EW513" s="9"/>
      <c r="EX513" s="10"/>
      <c r="EY513" s="9"/>
      <c r="EZ513" s="10"/>
      <c r="FA513" s="9"/>
      <c r="FB513" s="10"/>
      <c r="FC513" s="9"/>
      <c r="FD513" s="10"/>
      <c r="FE513" s="9"/>
      <c r="FF513" s="10"/>
      <c r="FG513" s="9"/>
      <c r="FH513" s="10"/>
      <c r="FI513" s="9"/>
      <c r="FJ513" s="10"/>
      <c r="FK513" s="9"/>
      <c r="FL513" s="10"/>
      <c r="FM513" s="9"/>
      <c r="FN513" s="10"/>
      <c r="FO513" s="9"/>
      <c r="FP513" s="10"/>
      <c r="FQ513" s="9"/>
      <c r="FR513" s="10"/>
      <c r="FS513" s="9"/>
      <c r="FT513" s="10"/>
      <c r="FU513" s="9"/>
      <c r="FV513" s="10"/>
      <c r="FW513" s="9"/>
      <c r="FX513" s="10"/>
      <c r="FY513" s="9"/>
      <c r="FZ513" s="10"/>
      <c r="GA513" s="9"/>
      <c r="GB513" s="10"/>
      <c r="GC513" s="9"/>
      <c r="GD513" s="10"/>
      <c r="GE513" s="9"/>
      <c r="GF513" s="10"/>
      <c r="GG513" s="9"/>
      <c r="GH513" s="10"/>
      <c r="GI513" s="9"/>
      <c r="GJ513" s="10"/>
      <c r="GK513" s="9"/>
      <c r="GL513" s="10"/>
      <c r="GM513" s="9"/>
      <c r="GN513" s="10"/>
      <c r="GO513" s="9"/>
      <c r="GP513" s="10"/>
      <c r="GQ513" s="9"/>
      <c r="GR513" s="10"/>
      <c r="GS513" s="9"/>
      <c r="GT513" s="10"/>
      <c r="GU513" s="9"/>
      <c r="GV513" s="10"/>
      <c r="GW513" s="9"/>
      <c r="GX513" s="10"/>
      <c r="GY513" s="9"/>
      <c r="GZ513" s="10"/>
      <c r="HA513" s="9"/>
      <c r="HB513" s="10"/>
      <c r="HC513" s="9"/>
      <c r="HD513" s="10"/>
      <c r="HE513" s="9"/>
      <c r="HF513" s="10"/>
      <c r="HG513" s="9"/>
      <c r="HH513" s="10"/>
      <c r="HI513" s="9"/>
      <c r="HJ513" s="10"/>
      <c r="HK513" s="9"/>
      <c r="HL513" s="10"/>
      <c r="HM513" s="9"/>
      <c r="HN513" s="10"/>
      <c r="HO513" s="9"/>
      <c r="HP513" s="10"/>
      <c r="HQ513" s="9"/>
      <c r="HR513" s="10"/>
      <c r="HS513" s="9"/>
      <c r="HT513" s="10"/>
      <c r="HU513" s="9"/>
      <c r="HV513" s="10"/>
      <c r="HW513" s="9"/>
      <c r="HX513" s="10"/>
      <c r="HY513" s="9"/>
      <c r="HZ513" s="10"/>
      <c r="IA513" s="9"/>
      <c r="IB513" s="10"/>
      <c r="IC513" s="9"/>
      <c r="ID513" s="10"/>
      <c r="IE513" s="9"/>
      <c r="IF513" s="10"/>
      <c r="IG513" s="9"/>
      <c r="IH513" s="10"/>
      <c r="II513" s="9"/>
      <c r="IJ513" s="10"/>
      <c r="IK513" s="9"/>
      <c r="IL513" s="10"/>
      <c r="IM513" s="9"/>
      <c r="IN513" s="10"/>
      <c r="IO513" s="9"/>
      <c r="IP513" s="10"/>
      <c r="IQ513" s="9"/>
      <c r="IR513" s="10"/>
      <c r="IS513" s="9"/>
      <c r="IT513" s="10"/>
      <c r="IU513" s="9"/>
      <c r="IV513" s="10"/>
    </row>
    <row r="514" spans="1:256">
      <c r="B514" s="10" t="s">
        <v>2176</v>
      </c>
      <c r="C514" s="9"/>
      <c r="D514" s="10"/>
      <c r="E514" s="9"/>
      <c r="F514" s="10"/>
      <c r="G514" s="9"/>
      <c r="H514" s="10"/>
      <c r="I514" s="9"/>
      <c r="J514" s="10"/>
      <c r="K514" s="9"/>
      <c r="L514" s="10"/>
      <c r="M514" s="9"/>
      <c r="N514" s="10"/>
      <c r="O514" s="9"/>
      <c r="P514" s="10"/>
      <c r="Q514" s="9"/>
      <c r="R514" s="10"/>
      <c r="S514" s="9"/>
      <c r="T514" s="10"/>
      <c r="U514" s="9"/>
      <c r="V514" s="10"/>
      <c r="W514" s="9"/>
      <c r="X514" s="10"/>
      <c r="Y514" s="9"/>
      <c r="Z514" s="10"/>
      <c r="AA514" s="9"/>
      <c r="AB514" s="10"/>
      <c r="AC514" s="9"/>
      <c r="AD514" s="10"/>
      <c r="AE514" s="9"/>
      <c r="AF514" s="10"/>
      <c r="AG514" s="9"/>
      <c r="AH514" s="10"/>
      <c r="AI514" s="9"/>
      <c r="AJ514" s="10"/>
      <c r="AK514" s="9"/>
      <c r="AL514" s="10"/>
      <c r="AM514" s="9"/>
      <c r="AN514" s="10"/>
      <c r="AO514" s="9"/>
      <c r="AP514" s="10"/>
      <c r="AQ514" s="9"/>
      <c r="AR514" s="10"/>
      <c r="AS514" s="9"/>
      <c r="AT514" s="10"/>
      <c r="AU514" s="9"/>
      <c r="AV514" s="10"/>
      <c r="AW514" s="9"/>
      <c r="AX514" s="10"/>
      <c r="AY514" s="9"/>
      <c r="AZ514" s="10"/>
      <c r="BA514" s="9"/>
      <c r="BB514" s="10"/>
      <c r="BC514" s="9"/>
      <c r="BD514" s="10"/>
      <c r="BE514" s="9"/>
      <c r="BF514" s="10"/>
      <c r="BG514" s="9"/>
      <c r="BH514" s="10"/>
      <c r="BI514" s="9"/>
      <c r="BJ514" s="10"/>
      <c r="BK514" s="9"/>
      <c r="BL514" s="10"/>
      <c r="BM514" s="9"/>
      <c r="BN514" s="10"/>
      <c r="BO514" s="9"/>
      <c r="BP514" s="10"/>
      <c r="BQ514" s="9"/>
      <c r="BR514" s="10"/>
      <c r="BS514" s="9"/>
      <c r="BT514" s="10"/>
      <c r="BU514" s="9"/>
      <c r="BV514" s="10"/>
      <c r="BW514" s="9"/>
      <c r="BX514" s="10"/>
      <c r="BY514" s="9"/>
      <c r="BZ514" s="10"/>
      <c r="CA514" s="9"/>
      <c r="CB514" s="10"/>
      <c r="CC514" s="9"/>
      <c r="CD514" s="10"/>
      <c r="CE514" s="9"/>
      <c r="CF514" s="10"/>
      <c r="CG514" s="9"/>
      <c r="CH514" s="10"/>
      <c r="CI514" s="9"/>
      <c r="CJ514" s="10"/>
      <c r="CK514" s="9"/>
      <c r="CL514" s="10"/>
      <c r="CM514" s="9"/>
      <c r="CN514" s="10"/>
      <c r="CO514" s="9"/>
      <c r="CP514" s="10"/>
      <c r="CQ514" s="9"/>
      <c r="CR514" s="10"/>
      <c r="CS514" s="9"/>
      <c r="CT514" s="10"/>
      <c r="CU514" s="9"/>
      <c r="CV514" s="10"/>
      <c r="CW514" s="9"/>
      <c r="CX514" s="10"/>
      <c r="CY514" s="9"/>
      <c r="CZ514" s="10"/>
      <c r="DA514" s="9"/>
      <c r="DB514" s="10"/>
      <c r="DC514" s="9"/>
      <c r="DD514" s="10"/>
      <c r="DE514" s="9"/>
      <c r="DF514" s="10"/>
      <c r="DG514" s="9"/>
      <c r="DH514" s="10"/>
      <c r="DI514" s="9"/>
      <c r="DJ514" s="10"/>
      <c r="DK514" s="9"/>
      <c r="DL514" s="10"/>
      <c r="DM514" s="9"/>
      <c r="DN514" s="10"/>
      <c r="DO514" s="9"/>
      <c r="DP514" s="10"/>
      <c r="DQ514" s="9"/>
      <c r="DR514" s="10"/>
      <c r="DS514" s="9"/>
      <c r="DT514" s="10"/>
      <c r="DU514" s="9"/>
      <c r="DV514" s="10"/>
      <c r="DW514" s="9"/>
      <c r="DX514" s="10"/>
      <c r="DY514" s="9"/>
      <c r="DZ514" s="10"/>
      <c r="EA514" s="9"/>
      <c r="EB514" s="10"/>
      <c r="EC514" s="9"/>
      <c r="ED514" s="10"/>
      <c r="EE514" s="9"/>
      <c r="EF514" s="10"/>
      <c r="EG514" s="9"/>
      <c r="EH514" s="10"/>
      <c r="EI514" s="9"/>
      <c r="EJ514" s="10"/>
      <c r="EK514" s="9"/>
      <c r="EL514" s="10"/>
      <c r="EM514" s="9"/>
      <c r="EN514" s="10"/>
      <c r="EO514" s="9"/>
      <c r="EP514" s="10"/>
      <c r="EQ514" s="9"/>
      <c r="ER514" s="10"/>
      <c r="ES514" s="9"/>
      <c r="ET514" s="10"/>
      <c r="EU514" s="9"/>
      <c r="EV514" s="10"/>
      <c r="EW514" s="9"/>
      <c r="EX514" s="10"/>
      <c r="EY514" s="9"/>
      <c r="EZ514" s="10"/>
      <c r="FA514" s="9"/>
      <c r="FB514" s="10"/>
      <c r="FC514" s="9"/>
      <c r="FD514" s="10"/>
      <c r="FE514" s="9"/>
      <c r="FF514" s="10"/>
      <c r="FG514" s="9"/>
      <c r="FH514" s="10"/>
      <c r="FI514" s="9"/>
      <c r="FJ514" s="10"/>
      <c r="FK514" s="9"/>
      <c r="FL514" s="10"/>
      <c r="FM514" s="9"/>
      <c r="FN514" s="10"/>
      <c r="FO514" s="9"/>
      <c r="FP514" s="10"/>
      <c r="FQ514" s="9"/>
      <c r="FR514" s="10"/>
      <c r="FS514" s="9"/>
      <c r="FT514" s="10"/>
      <c r="FU514" s="9"/>
      <c r="FV514" s="10"/>
      <c r="FW514" s="9"/>
      <c r="FX514" s="10"/>
      <c r="FY514" s="9"/>
      <c r="FZ514" s="10"/>
      <c r="GA514" s="9"/>
      <c r="GB514" s="10"/>
      <c r="GC514" s="9"/>
      <c r="GD514" s="10"/>
      <c r="GE514" s="9"/>
      <c r="GF514" s="10"/>
      <c r="GG514" s="9"/>
      <c r="GH514" s="10"/>
      <c r="GI514" s="9"/>
      <c r="GJ514" s="10"/>
      <c r="GK514" s="9"/>
      <c r="GL514" s="10"/>
      <c r="GM514" s="9"/>
      <c r="GN514" s="10"/>
      <c r="GO514" s="9"/>
      <c r="GP514" s="10"/>
      <c r="GQ514" s="9"/>
      <c r="GR514" s="10"/>
      <c r="GS514" s="9"/>
      <c r="GT514" s="10"/>
      <c r="GU514" s="9"/>
      <c r="GV514" s="10"/>
      <c r="GW514" s="9"/>
      <c r="GX514" s="10"/>
      <c r="GY514" s="9"/>
      <c r="GZ514" s="10"/>
      <c r="HA514" s="9"/>
      <c r="HB514" s="10"/>
      <c r="HC514" s="9"/>
      <c r="HD514" s="10"/>
      <c r="HE514" s="9"/>
      <c r="HF514" s="10"/>
      <c r="HG514" s="9"/>
      <c r="HH514" s="10"/>
      <c r="HI514" s="9"/>
      <c r="HJ514" s="10"/>
      <c r="HK514" s="9"/>
      <c r="HL514" s="10"/>
      <c r="HM514" s="9"/>
      <c r="HN514" s="10"/>
      <c r="HO514" s="9"/>
      <c r="HP514" s="10"/>
      <c r="HQ514" s="9"/>
      <c r="HR514" s="10"/>
      <c r="HS514" s="9"/>
      <c r="HT514" s="10"/>
      <c r="HU514" s="9"/>
      <c r="HV514" s="10"/>
      <c r="HW514" s="9"/>
      <c r="HX514" s="10"/>
      <c r="HY514" s="9"/>
      <c r="HZ514" s="10"/>
      <c r="IA514" s="9"/>
      <c r="IB514" s="10"/>
      <c r="IC514" s="9"/>
      <c r="ID514" s="10"/>
      <c r="IE514" s="9"/>
      <c r="IF514" s="10"/>
      <c r="IG514" s="9"/>
      <c r="IH514" s="10"/>
      <c r="II514" s="9"/>
      <c r="IJ514" s="10"/>
      <c r="IK514" s="9"/>
      <c r="IL514" s="10"/>
      <c r="IM514" s="9"/>
      <c r="IN514" s="10"/>
      <c r="IO514" s="9"/>
      <c r="IP514" s="10"/>
      <c r="IQ514" s="9"/>
      <c r="IR514" s="10"/>
      <c r="IS514" s="9"/>
      <c r="IT514" s="10"/>
      <c r="IU514" s="9"/>
      <c r="IV514" s="10"/>
    </row>
    <row r="515" spans="1:256">
      <c r="A515" s="9" t="s">
        <v>2247</v>
      </c>
      <c r="B515" s="9" t="s">
        <v>2177</v>
      </c>
    </row>
    <row r="516" spans="1:256">
      <c r="A516" s="9" t="s">
        <v>2178</v>
      </c>
      <c r="B516" s="10" t="s">
        <v>2179</v>
      </c>
    </row>
    <row r="517" spans="1:256">
      <c r="B517" s="10" t="s">
        <v>2180</v>
      </c>
    </row>
    <row r="518" spans="1:256">
      <c r="B518" s="10"/>
    </row>
    <row r="519" spans="1:256">
      <c r="A519" s="9" t="s">
        <v>1670</v>
      </c>
    </row>
    <row r="520" spans="1:256">
      <c r="A520" s="9" t="s">
        <v>2246</v>
      </c>
      <c r="B520" s="9" t="s">
        <v>1669</v>
      </c>
    </row>
    <row r="521" spans="1:256">
      <c r="B521" s="9" t="s">
        <v>2210</v>
      </c>
      <c r="J521" s="10"/>
    </row>
    <row r="522" spans="1:256">
      <c r="A522" s="9" t="s">
        <v>2247</v>
      </c>
      <c r="B522" s="9" t="s">
        <v>161</v>
      </c>
    </row>
    <row r="524" spans="1:256">
      <c r="A524" s="9" t="s">
        <v>1579</v>
      </c>
      <c r="B524" s="9" t="s">
        <v>1580</v>
      </c>
    </row>
    <row r="525" spans="1:256">
      <c r="A525" s="9" t="s">
        <v>1583</v>
      </c>
      <c r="B525" s="9" t="s">
        <v>1584</v>
      </c>
    </row>
    <row r="526" spans="1:256">
      <c r="B526" s="9" t="s">
        <v>1582</v>
      </c>
    </row>
    <row r="527" spans="1:256">
      <c r="B527" s="9" t="s">
        <v>1426</v>
      </c>
    </row>
    <row r="528" spans="1:256">
      <c r="B528" s="9" t="s">
        <v>1715</v>
      </c>
    </row>
    <row r="529" spans="1:2">
      <c r="B529" s="9" t="s">
        <v>1716</v>
      </c>
    </row>
    <row r="530" spans="1:2">
      <c r="B530" s="9" t="s">
        <v>219</v>
      </c>
    </row>
    <row r="531" spans="1:2">
      <c r="B531" s="9" t="s">
        <v>220</v>
      </c>
    </row>
    <row r="532" spans="1:2">
      <c r="B532" s="9" t="s">
        <v>221</v>
      </c>
    </row>
    <row r="534" spans="1:2">
      <c r="A534" s="9" t="s">
        <v>725</v>
      </c>
    </row>
    <row r="535" spans="1:2">
      <c r="A535" s="9" t="s">
        <v>2246</v>
      </c>
      <c r="B535" s="10" t="s">
        <v>724</v>
      </c>
    </row>
    <row r="536" spans="1:2">
      <c r="B536" s="9" t="s">
        <v>936</v>
      </c>
    </row>
    <row r="537" spans="1:2">
      <c r="A537" s="9" t="s">
        <v>1565</v>
      </c>
      <c r="B537" s="9" t="s">
        <v>543</v>
      </c>
    </row>
    <row r="538" spans="1:2">
      <c r="A538" s="9" t="s">
        <v>2247</v>
      </c>
      <c r="B538" s="285" t="s">
        <v>1437</v>
      </c>
    </row>
    <row r="539" spans="1:2">
      <c r="B539" s="10" t="s">
        <v>282</v>
      </c>
    </row>
    <row r="540" spans="1:2">
      <c r="B540" s="10" t="s">
        <v>278</v>
      </c>
    </row>
    <row r="541" spans="1:2">
      <c r="B541" s="10" t="s">
        <v>1759</v>
      </c>
    </row>
    <row r="542" spans="1:2">
      <c r="B542" s="10" t="s">
        <v>1529</v>
      </c>
    </row>
    <row r="543" spans="1:2">
      <c r="B543" s="10" t="s">
        <v>544</v>
      </c>
    </row>
    <row r="544" spans="1:2">
      <c r="B544" s="48" t="s">
        <v>1429</v>
      </c>
    </row>
    <row r="545" spans="1:6">
      <c r="B545" s="126" t="s">
        <v>1428</v>
      </c>
    </row>
    <row r="546" spans="1:6">
      <c r="B546" s="10" t="s">
        <v>280</v>
      </c>
    </row>
    <row r="547" spans="1:6">
      <c r="B547" s="10" t="s">
        <v>547</v>
      </c>
    </row>
    <row r="548" spans="1:6">
      <c r="B548" s="10" t="s">
        <v>281</v>
      </c>
    </row>
    <row r="549" spans="1:6">
      <c r="B549" s="10" t="s">
        <v>1431</v>
      </c>
    </row>
    <row r="550" spans="1:6">
      <c r="B550" s="10" t="s">
        <v>1430</v>
      </c>
    </row>
    <row r="551" spans="1:6">
      <c r="B551" s="10" t="s">
        <v>1530</v>
      </c>
    </row>
    <row r="552" spans="1:6">
      <c r="A552" s="2"/>
      <c r="B552" s="10" t="s">
        <v>279</v>
      </c>
    </row>
    <row r="553" spans="1:6">
      <c r="A553" s="2"/>
      <c r="B553" s="10" t="s">
        <v>726</v>
      </c>
      <c r="F553" s="286"/>
    </row>
    <row r="554" spans="1:6">
      <c r="A554" s="2"/>
      <c r="B554" s="10" t="s">
        <v>545</v>
      </c>
    </row>
    <row r="555" spans="1:6">
      <c r="A555" s="2"/>
      <c r="B555" s="10" t="s">
        <v>1432</v>
      </c>
    </row>
    <row r="556" spans="1:6">
      <c r="A556" s="2"/>
      <c r="B556" s="10" t="s">
        <v>1301</v>
      </c>
    </row>
    <row r="557" spans="1:6">
      <c r="A557" s="2"/>
      <c r="B557" s="10" t="s">
        <v>1436</v>
      </c>
    </row>
    <row r="558" spans="1:6">
      <c r="A558" s="2"/>
      <c r="B558" s="10" t="s">
        <v>277</v>
      </c>
    </row>
    <row r="559" spans="1:6">
      <c r="A559" s="2"/>
      <c r="B559" s="10" t="s">
        <v>1433</v>
      </c>
    </row>
    <row r="560" spans="1:6">
      <c r="A560" s="2"/>
      <c r="B560" s="10" t="s">
        <v>1434</v>
      </c>
    </row>
    <row r="561" spans="1:2">
      <c r="A561" s="2"/>
      <c r="B561" s="10" t="s">
        <v>1435</v>
      </c>
    </row>
    <row r="562" spans="1:2">
      <c r="A562" s="2"/>
      <c r="B562" s="10" t="s">
        <v>1762</v>
      </c>
    </row>
    <row r="563" spans="1:2">
      <c r="A563" s="2"/>
      <c r="B563" s="10" t="s">
        <v>1527</v>
      </c>
    </row>
    <row r="564" spans="1:2">
      <c r="A564" s="2"/>
      <c r="B564" s="10" t="s">
        <v>1524</v>
      </c>
    </row>
    <row r="565" spans="1:2">
      <c r="A565" s="2"/>
      <c r="B565" s="10" t="s">
        <v>1528</v>
      </c>
    </row>
    <row r="566" spans="1:2">
      <c r="A566" s="2"/>
      <c r="B566" s="10" t="s">
        <v>1525</v>
      </c>
    </row>
    <row r="567" spans="1:2">
      <c r="A567" s="2"/>
      <c r="B567" s="10" t="s">
        <v>1526</v>
      </c>
    </row>
    <row r="568" spans="1:2">
      <c r="A568" s="2"/>
      <c r="B568" s="10" t="s">
        <v>1761</v>
      </c>
    </row>
    <row r="569" spans="1:2">
      <c r="A569" s="2"/>
      <c r="B569" s="10" t="s">
        <v>1420</v>
      </c>
    </row>
    <row r="570" spans="1:2">
      <c r="A570" s="2"/>
      <c r="B570" s="10" t="s">
        <v>1765</v>
      </c>
    </row>
    <row r="571" spans="1:2">
      <c r="A571" s="2"/>
      <c r="B571" s="10" t="s">
        <v>1760</v>
      </c>
    </row>
    <row r="572" spans="1:2">
      <c r="A572" s="2"/>
      <c r="B572" s="10" t="s">
        <v>1766</v>
      </c>
    </row>
    <row r="573" spans="1:2">
      <c r="A573" s="2"/>
      <c r="B573" s="10" t="s">
        <v>1764</v>
      </c>
    </row>
    <row r="574" spans="1:2">
      <c r="A574" s="2"/>
      <c r="B574" s="10" t="s">
        <v>1763</v>
      </c>
    </row>
    <row r="575" spans="1:2">
      <c r="A575" s="2"/>
      <c r="B575" s="10" t="s">
        <v>1767</v>
      </c>
    </row>
    <row r="576" spans="1:2">
      <c r="A576" s="2"/>
      <c r="B576" s="10" t="s">
        <v>546</v>
      </c>
    </row>
    <row r="577" spans="1:2">
      <c r="A577" s="2"/>
      <c r="B577" s="10" t="s">
        <v>159</v>
      </c>
    </row>
    <row r="578" spans="1:2">
      <c r="A578" s="2"/>
      <c r="B578" s="10" t="s">
        <v>1421</v>
      </c>
    </row>
    <row r="579" spans="1:2">
      <c r="A579" s="2"/>
      <c r="B579" s="10" t="s">
        <v>1422</v>
      </c>
    </row>
    <row r="580" spans="1:2">
      <c r="A580" s="2"/>
      <c r="B580" s="10" t="s">
        <v>1423</v>
      </c>
    </row>
    <row r="581" spans="1:2">
      <c r="A581" s="2"/>
      <c r="B581" s="10" t="s">
        <v>158</v>
      </c>
    </row>
    <row r="582" spans="1:2">
      <c r="A582" s="2"/>
      <c r="B582" s="10"/>
    </row>
    <row r="583" spans="1:2">
      <c r="A583" s="2"/>
      <c r="B583" s="10"/>
    </row>
    <row r="584" spans="1:2">
      <c r="A584" s="2"/>
      <c r="B584" s="285" t="s">
        <v>542</v>
      </c>
    </row>
    <row r="585" spans="1:2">
      <c r="B585" s="286" t="s">
        <v>548</v>
      </c>
    </row>
    <row r="587" spans="1:2">
      <c r="A587" s="9" t="s">
        <v>1030</v>
      </c>
    </row>
    <row r="588" spans="1:2">
      <c r="A588" s="9" t="s">
        <v>276</v>
      </c>
      <c r="B588" s="9" t="s">
        <v>962</v>
      </c>
    </row>
    <row r="589" spans="1:2">
      <c r="A589" s="9" t="s">
        <v>273</v>
      </c>
      <c r="B589" s="9" t="s">
        <v>962</v>
      </c>
    </row>
    <row r="590" spans="1:2">
      <c r="A590" s="9" t="s">
        <v>1342</v>
      </c>
      <c r="B590" s="9" t="s">
        <v>962</v>
      </c>
    </row>
    <row r="591" spans="1:2">
      <c r="A591" s="9" t="s">
        <v>1564</v>
      </c>
      <c r="B591" s="9" t="s">
        <v>962</v>
      </c>
    </row>
    <row r="592" spans="1:2">
      <c r="A592" s="9" t="s">
        <v>1899</v>
      </c>
      <c r="B592" s="9" t="s">
        <v>2245</v>
      </c>
    </row>
    <row r="593" spans="1:2">
      <c r="A593" s="9" t="s">
        <v>1663</v>
      </c>
      <c r="B593" s="9" t="s">
        <v>2245</v>
      </c>
    </row>
    <row r="594" spans="1:2">
      <c r="A594" s="9" t="s">
        <v>1917</v>
      </c>
      <c r="B594" s="9" t="s">
        <v>2245</v>
      </c>
    </row>
    <row r="595" spans="1:2">
      <c r="A595" s="9" t="s">
        <v>2229</v>
      </c>
      <c r="B595" s="9" t="s">
        <v>962</v>
      </c>
    </row>
    <row r="596" spans="1:2">
      <c r="A596" s="9" t="s">
        <v>806</v>
      </c>
      <c r="B596" s="9" t="s">
        <v>962</v>
      </c>
    </row>
    <row r="597" spans="1:2">
      <c r="A597" s="9" t="s">
        <v>804</v>
      </c>
      <c r="B597" s="9" t="s">
        <v>962</v>
      </c>
    </row>
    <row r="598" spans="1:2">
      <c r="A598" s="9" t="s">
        <v>2073</v>
      </c>
      <c r="B598" s="9" t="s">
        <v>962</v>
      </c>
    </row>
    <row r="599" spans="1:2">
      <c r="A599" s="9" t="s">
        <v>1852</v>
      </c>
      <c r="B599" s="10" t="s">
        <v>962</v>
      </c>
    </row>
    <row r="600" spans="1:2">
      <c r="A600" s="9" t="s">
        <v>1851</v>
      </c>
      <c r="B600" s="9" t="s">
        <v>2245</v>
      </c>
    </row>
    <row r="601" spans="1:2">
      <c r="A601" s="9" t="s">
        <v>1469</v>
      </c>
      <c r="B601" s="9" t="s">
        <v>2245</v>
      </c>
    </row>
    <row r="602" spans="1:2">
      <c r="A602" s="9" t="s">
        <v>819</v>
      </c>
      <c r="B602" s="9" t="s">
        <v>962</v>
      </c>
    </row>
    <row r="603" spans="1:2">
      <c r="A603" s="9" t="s">
        <v>930</v>
      </c>
      <c r="B603" s="9" t="s">
        <v>2245</v>
      </c>
    </row>
    <row r="604" spans="1:2">
      <c r="A604" s="9" t="s">
        <v>929</v>
      </c>
      <c r="B604" s="9" t="s">
        <v>962</v>
      </c>
    </row>
    <row r="605" spans="1:2">
      <c r="A605" s="9" t="s">
        <v>2244</v>
      </c>
      <c r="B605" s="9" t="s">
        <v>962</v>
      </c>
    </row>
    <row r="606" spans="1:2">
      <c r="A606" s="9" t="s">
        <v>2249</v>
      </c>
      <c r="B606" s="9" t="s">
        <v>2245</v>
      </c>
    </row>
    <row r="607" spans="1:2">
      <c r="A607" s="9" t="s">
        <v>2094</v>
      </c>
      <c r="B607" s="9" t="s">
        <v>962</v>
      </c>
    </row>
    <row r="608" spans="1:2">
      <c r="A608" s="9" t="s">
        <v>2095</v>
      </c>
      <c r="B608" s="9" t="s">
        <v>962</v>
      </c>
    </row>
    <row r="609" spans="1:8">
      <c r="A609" s="9" t="s">
        <v>2096</v>
      </c>
      <c r="B609" s="9" t="s">
        <v>962</v>
      </c>
    </row>
    <row r="610" spans="1:8">
      <c r="A610" s="9" t="s">
        <v>2097</v>
      </c>
      <c r="B610" s="9" t="s">
        <v>962</v>
      </c>
    </row>
    <row r="611" spans="1:8">
      <c r="A611" s="9" t="s">
        <v>2098</v>
      </c>
      <c r="B611" s="9" t="s">
        <v>962</v>
      </c>
      <c r="G611" s="10"/>
    </row>
    <row r="612" spans="1:8">
      <c r="A612" s="9" t="s">
        <v>2100</v>
      </c>
      <c r="B612" s="9" t="s">
        <v>2099</v>
      </c>
      <c r="G612" s="10"/>
    </row>
    <row r="613" spans="1:8">
      <c r="A613" s="9" t="s">
        <v>2101</v>
      </c>
      <c r="B613" s="9" t="s">
        <v>2245</v>
      </c>
      <c r="H613" s="2"/>
    </row>
    <row r="614" spans="1:8">
      <c r="A614" s="9" t="s">
        <v>2102</v>
      </c>
      <c r="B614" s="9" t="s">
        <v>2245</v>
      </c>
      <c r="H614" s="2"/>
    </row>
    <row r="615" spans="1:8">
      <c r="A615" s="9" t="s">
        <v>2104</v>
      </c>
      <c r="B615" s="9" t="s">
        <v>2103</v>
      </c>
      <c r="H615" s="2"/>
    </row>
    <row r="616" spans="1:8">
      <c r="A616" s="9" t="s">
        <v>2105</v>
      </c>
      <c r="B616" s="9" t="s">
        <v>962</v>
      </c>
      <c r="H616" s="2"/>
    </row>
    <row r="617" spans="1:8">
      <c r="A617" s="9" t="s">
        <v>2106</v>
      </c>
      <c r="B617" s="9" t="s">
        <v>2245</v>
      </c>
      <c r="H617" s="2"/>
    </row>
    <row r="618" spans="1:8">
      <c r="A618" s="9" t="s">
        <v>2107</v>
      </c>
      <c r="B618" s="9" t="s">
        <v>962</v>
      </c>
    </row>
    <row r="619" spans="1:8">
      <c r="A619" s="9" t="s">
        <v>2108</v>
      </c>
      <c r="B619" s="9" t="s">
        <v>2245</v>
      </c>
      <c r="H619" s="2"/>
    </row>
    <row r="620" spans="1:8">
      <c r="A620" s="9" t="s">
        <v>2109</v>
      </c>
      <c r="B620" s="9" t="s">
        <v>962</v>
      </c>
      <c r="H620" s="2"/>
    </row>
    <row r="621" spans="1:8">
      <c r="A621" s="9" t="s">
        <v>2110</v>
      </c>
      <c r="B621" s="9" t="s">
        <v>962</v>
      </c>
    </row>
    <row r="622" spans="1:8">
      <c r="A622" s="9" t="s">
        <v>2112</v>
      </c>
      <c r="B622" s="9" t="s">
        <v>2111</v>
      </c>
      <c r="H622" s="2"/>
    </row>
    <row r="623" spans="1:8">
      <c r="A623" s="9" t="s">
        <v>2113</v>
      </c>
      <c r="B623" s="9" t="s">
        <v>2245</v>
      </c>
      <c r="G623" s="8"/>
      <c r="H623" s="2"/>
    </row>
    <row r="624" spans="1:8">
      <c r="A624" s="9" t="s">
        <v>2114</v>
      </c>
      <c r="B624" s="9" t="s">
        <v>2111</v>
      </c>
      <c r="H624" s="2"/>
    </row>
    <row r="625" spans="1:8">
      <c r="A625" s="9" t="s">
        <v>2115</v>
      </c>
      <c r="B625" s="9" t="s">
        <v>2245</v>
      </c>
      <c r="H625" s="2"/>
    </row>
    <row r="626" spans="1:8">
      <c r="A626" s="9" t="s">
        <v>2116</v>
      </c>
      <c r="B626" s="9" t="s">
        <v>2245</v>
      </c>
      <c r="H626" s="2"/>
    </row>
    <row r="627" spans="1:8">
      <c r="A627" s="9" t="s">
        <v>2117</v>
      </c>
      <c r="B627" s="9" t="s">
        <v>2111</v>
      </c>
    </row>
    <row r="628" spans="1:8">
      <c r="A628" s="9" t="s">
        <v>2118</v>
      </c>
      <c r="B628" s="9" t="s">
        <v>2245</v>
      </c>
      <c r="H628" s="2"/>
    </row>
    <row r="629" spans="1:8">
      <c r="A629" s="9" t="s">
        <v>2119</v>
      </c>
      <c r="B629" s="9" t="s">
        <v>2111</v>
      </c>
      <c r="H629" s="2"/>
    </row>
    <row r="630" spans="1:8">
      <c r="A630" s="9" t="s">
        <v>2120</v>
      </c>
      <c r="B630" s="9" t="s">
        <v>2245</v>
      </c>
      <c r="H630" s="2"/>
    </row>
    <row r="631" spans="1:8">
      <c r="A631" s="9" t="s">
        <v>2121</v>
      </c>
      <c r="B631" s="9" t="s">
        <v>2245</v>
      </c>
      <c r="H631" s="2"/>
    </row>
    <row r="632" spans="1:8">
      <c r="A632" s="9" t="s">
        <v>2122</v>
      </c>
      <c r="B632" s="9" t="s">
        <v>2245</v>
      </c>
      <c r="H632" s="2"/>
    </row>
    <row r="633" spans="1:8">
      <c r="A633" s="9" t="s">
        <v>2123</v>
      </c>
      <c r="B633" s="9" t="s">
        <v>2245</v>
      </c>
      <c r="H633" s="2"/>
    </row>
    <row r="634" spans="1:8">
      <c r="A634" s="9" t="s">
        <v>2125</v>
      </c>
      <c r="B634" s="9" t="s">
        <v>2124</v>
      </c>
      <c r="H634" s="2"/>
    </row>
    <row r="635" spans="1:8">
      <c r="A635" s="9" t="s">
        <v>2126</v>
      </c>
      <c r="B635" s="9" t="s">
        <v>2245</v>
      </c>
      <c r="H635" s="2"/>
    </row>
    <row r="636" spans="1:8">
      <c r="A636" s="9" t="s">
        <v>2127</v>
      </c>
      <c r="B636" s="9" t="s">
        <v>2124</v>
      </c>
      <c r="H636" s="2"/>
    </row>
    <row r="637" spans="1:8">
      <c r="A637" s="9" t="s">
        <v>2128</v>
      </c>
      <c r="B637" s="9" t="s">
        <v>2245</v>
      </c>
      <c r="H637" s="2"/>
    </row>
    <row r="638" spans="1:8">
      <c r="A638" s="9" t="s">
        <v>2129</v>
      </c>
      <c r="B638" s="9" t="s">
        <v>2245</v>
      </c>
      <c r="H638" s="2"/>
    </row>
    <row r="639" spans="1:8">
      <c r="A639" s="9" t="s">
        <v>2130</v>
      </c>
      <c r="B639" s="9" t="s">
        <v>2245</v>
      </c>
      <c r="H639" s="2"/>
    </row>
    <row r="640" spans="1:8">
      <c r="A640" s="9" t="s">
        <v>2131</v>
      </c>
      <c r="B640" s="9" t="s">
        <v>2124</v>
      </c>
      <c r="H640" s="2"/>
    </row>
    <row r="641" spans="1:8">
      <c r="A641" s="9" t="s">
        <v>2132</v>
      </c>
      <c r="B641" s="9" t="s">
        <v>2245</v>
      </c>
      <c r="H641" s="2"/>
    </row>
    <row r="642" spans="1:8">
      <c r="A642" s="9" t="s">
        <v>2133</v>
      </c>
      <c r="B642" s="9" t="s">
        <v>2245</v>
      </c>
      <c r="H642" s="2"/>
    </row>
    <row r="643" spans="1:8">
      <c r="A643" s="9" t="s">
        <v>2134</v>
      </c>
      <c r="B643" s="2"/>
    </row>
    <row r="644" spans="1:8">
      <c r="A644" s="9" t="s">
        <v>2135</v>
      </c>
      <c r="B644" s="2"/>
      <c r="H644" s="2"/>
    </row>
    <row r="645" spans="1:8">
      <c r="B645" s="2"/>
      <c r="H645" s="2"/>
    </row>
    <row r="646" spans="1:8">
      <c r="H646" s="2"/>
    </row>
    <row r="647" spans="1:8">
      <c r="H647" s="2"/>
    </row>
    <row r="648" spans="1:8">
      <c r="G648" s="11"/>
      <c r="H648" s="2"/>
    </row>
    <row r="649" spans="1:8">
      <c r="G649" s="11"/>
      <c r="H649" s="2"/>
    </row>
    <row r="650" spans="1:8">
      <c r="G650" s="11"/>
      <c r="H650" s="2"/>
    </row>
    <row r="651" spans="1:8">
      <c r="H651" s="2"/>
    </row>
    <row r="652" spans="1:8">
      <c r="H652" s="2"/>
    </row>
    <row r="653" spans="1:8">
      <c r="H653" s="2"/>
    </row>
    <row r="654" spans="1:8">
      <c r="H654" s="2"/>
    </row>
    <row r="655" spans="1:8">
      <c r="H655" s="2"/>
    </row>
    <row r="656" spans="1:8">
      <c r="H656" s="2"/>
    </row>
    <row r="657" spans="7:8">
      <c r="H657" s="2"/>
    </row>
    <row r="659" spans="7:8">
      <c r="H659" s="2"/>
    </row>
    <row r="660" spans="7:8">
      <c r="H660" s="2"/>
    </row>
    <row r="661" spans="7:8">
      <c r="H661" s="2"/>
    </row>
    <row r="663" spans="7:8">
      <c r="H663" s="2"/>
    </row>
    <row r="664" spans="7:8">
      <c r="G664" s="12"/>
      <c r="H664" s="2"/>
    </row>
    <row r="665" spans="7:8">
      <c r="G665" s="287"/>
      <c r="H665" s="2"/>
    </row>
    <row r="666" spans="7:8">
      <c r="G666" s="287"/>
      <c r="H666" s="2"/>
    </row>
    <row r="667" spans="7:8">
      <c r="G667" s="287"/>
      <c r="H667" s="2"/>
    </row>
    <row r="668" spans="7:8">
      <c r="G668" s="287"/>
      <c r="H668" s="2"/>
    </row>
    <row r="669" spans="7:8">
      <c r="G669" s="287"/>
      <c r="H669" s="2"/>
    </row>
    <row r="670" spans="7:8">
      <c r="H670" s="2"/>
    </row>
    <row r="671" spans="7:8">
      <c r="H671" s="2"/>
    </row>
    <row r="672" spans="7:8">
      <c r="H672" s="2"/>
    </row>
    <row r="673" spans="7:8">
      <c r="G673" s="12"/>
      <c r="H673" s="2"/>
    </row>
    <row r="674" spans="7:8">
      <c r="G674" s="12"/>
      <c r="H674" s="2"/>
    </row>
    <row r="675" spans="7:8">
      <c r="H675" s="2"/>
    </row>
    <row r="678" spans="7:8">
      <c r="G678" s="12"/>
    </row>
    <row r="687" spans="7:8">
      <c r="G687" s="9"/>
    </row>
    <row r="688" spans="7:8">
      <c r="G688" s="9"/>
    </row>
    <row r="689" spans="1:8">
      <c r="G689" s="9"/>
    </row>
    <row r="690" spans="1:8">
      <c r="B690" s="8"/>
      <c r="G690" s="9"/>
    </row>
    <row r="691" spans="1:8">
      <c r="A691" s="2"/>
      <c r="H691" s="2"/>
    </row>
    <row r="692" spans="1:8">
      <c r="A692" s="2"/>
      <c r="B692" s="13"/>
      <c r="H692" s="2"/>
    </row>
    <row r="693" spans="1:8">
      <c r="H693" s="2"/>
    </row>
    <row r="694" spans="1:8">
      <c r="B694" s="8"/>
      <c r="H694" s="2"/>
    </row>
    <row r="695" spans="1:8">
      <c r="H695" s="2"/>
    </row>
    <row r="696" spans="1:8">
      <c r="B696" s="8"/>
    </row>
    <row r="697" spans="1:8">
      <c r="H697" s="2"/>
    </row>
    <row r="698" spans="1:8">
      <c r="H698" s="2"/>
    </row>
    <row r="699" spans="1:8">
      <c r="H699" s="2"/>
    </row>
    <row r="700" spans="1:8">
      <c r="H700" s="2"/>
    </row>
    <row r="701" spans="1:8">
      <c r="H701" s="2"/>
    </row>
    <row r="702" spans="1:8">
      <c r="H702" s="2"/>
    </row>
    <row r="703" spans="1:8">
      <c r="H703" s="2"/>
    </row>
    <row r="704" spans="1:8">
      <c r="H704" s="2"/>
    </row>
    <row r="706" spans="6:8">
      <c r="H706" s="2"/>
    </row>
    <row r="707" spans="6:8">
      <c r="H707" s="2"/>
    </row>
    <row r="708" spans="6:8">
      <c r="H708" s="2"/>
    </row>
    <row r="709" spans="6:8">
      <c r="G709" s="9"/>
      <c r="H709" s="2"/>
    </row>
    <row r="710" spans="6:8">
      <c r="H710" s="2"/>
    </row>
    <row r="711" spans="6:8">
      <c r="H711" s="2"/>
    </row>
    <row r="713" spans="6:8">
      <c r="H713" s="2"/>
    </row>
    <row r="714" spans="6:8">
      <c r="H714" s="2"/>
    </row>
    <row r="715" spans="6:8">
      <c r="H715" s="2"/>
    </row>
    <row r="717" spans="6:8">
      <c r="H717" s="2"/>
    </row>
    <row r="718" spans="6:8">
      <c r="F718" s="9"/>
      <c r="G718" s="9"/>
      <c r="H718" s="2"/>
    </row>
    <row r="719" spans="6:8">
      <c r="F719" s="9"/>
      <c r="H719" s="2"/>
    </row>
    <row r="720" spans="6:8">
      <c r="F720" s="9"/>
      <c r="G720" s="9"/>
      <c r="H720" s="2"/>
    </row>
    <row r="721" spans="8:8">
      <c r="H721" s="2"/>
    </row>
    <row r="722" spans="8:8">
      <c r="H722" s="2"/>
    </row>
    <row r="723" spans="8:8">
      <c r="H723" s="2"/>
    </row>
    <row r="725" spans="8:8">
      <c r="H725" s="2"/>
    </row>
    <row r="726" spans="8:8">
      <c r="H726" s="2"/>
    </row>
    <row r="727" spans="8:8">
      <c r="H727" s="2"/>
    </row>
    <row r="728" spans="8:8">
      <c r="H728" s="2"/>
    </row>
    <row r="729" spans="8:8">
      <c r="H729" s="2"/>
    </row>
    <row r="730" spans="8:8">
      <c r="H730" s="2"/>
    </row>
    <row r="731" spans="8:8">
      <c r="H731" s="2"/>
    </row>
    <row r="732" spans="8:8">
      <c r="H732" s="2"/>
    </row>
    <row r="734" spans="8:8">
      <c r="H734" s="2"/>
    </row>
    <row r="735" spans="8:8">
      <c r="H735" s="2"/>
    </row>
    <row r="736" spans="8:8">
      <c r="H736" s="2"/>
    </row>
    <row r="737" spans="1:8">
      <c r="H737" s="2"/>
    </row>
    <row r="739" spans="1:8">
      <c r="F739" s="8"/>
      <c r="H739" s="2"/>
    </row>
    <row r="740" spans="1:8">
      <c r="E740" s="285"/>
      <c r="F740" s="8"/>
      <c r="H740" s="2"/>
    </row>
    <row r="741" spans="1:8">
      <c r="F741" s="8"/>
      <c r="H741" s="2"/>
    </row>
    <row r="742" spans="1:8">
      <c r="F742" s="8"/>
      <c r="H742" s="2"/>
    </row>
    <row r="743" spans="1:8">
      <c r="E743" s="285"/>
      <c r="F743" s="8"/>
      <c r="H743" s="2"/>
    </row>
    <row r="744" spans="1:8">
      <c r="F744" s="8"/>
      <c r="H744" s="2"/>
    </row>
    <row r="745" spans="1:8">
      <c r="F745" s="8"/>
      <c r="H745" s="2"/>
    </row>
    <row r="746" spans="1:8">
      <c r="F746" s="8"/>
      <c r="H746" s="2"/>
    </row>
    <row r="747" spans="1:8">
      <c r="F747" s="8"/>
      <c r="H747" s="2"/>
    </row>
    <row r="748" spans="1:8">
      <c r="F748" s="8"/>
      <c r="H748" s="2"/>
    </row>
    <row r="749" spans="1:8">
      <c r="F749" s="8"/>
      <c r="H749" s="2"/>
    </row>
    <row r="750" spans="1:8">
      <c r="F750" s="8"/>
      <c r="H750" s="2"/>
    </row>
    <row r="751" spans="1:8">
      <c r="A751" s="2"/>
      <c r="B751" s="2"/>
      <c r="F751" s="8"/>
      <c r="H751" s="2"/>
    </row>
    <row r="752" spans="1:8">
      <c r="A752" s="2"/>
      <c r="B752" s="2"/>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s="2" customFormat="1">
      <c r="F760" s="8"/>
    </row>
    <row r="761" spans="1:8" s="2" customFormat="1">
      <c r="F761" s="8"/>
    </row>
    <row r="762" spans="1:8" s="2" customFormat="1">
      <c r="F762" s="8"/>
    </row>
    <row r="763" spans="1:8">
      <c r="A763" s="2"/>
      <c r="B763" s="2"/>
      <c r="E763" s="8"/>
      <c r="F763" s="8"/>
      <c r="H763" s="2"/>
    </row>
    <row r="764" spans="1:8">
      <c r="A764" s="2"/>
      <c r="B764" s="2"/>
      <c r="E764" s="8"/>
      <c r="F764" s="8"/>
      <c r="H764" s="2"/>
    </row>
    <row r="765" spans="1:8">
      <c r="A765" s="2"/>
      <c r="B765" s="2"/>
      <c r="E765" s="8"/>
      <c r="F765" s="8"/>
      <c r="H765" s="2"/>
    </row>
    <row r="766" spans="1:8">
      <c r="A766" s="2"/>
      <c r="B766" s="2"/>
      <c r="C766" s="8"/>
      <c r="E766" s="8"/>
      <c r="F766" s="8"/>
      <c r="H766" s="2"/>
    </row>
    <row r="767" spans="1:8">
      <c r="A767" s="2"/>
      <c r="B767" s="2"/>
      <c r="C767" s="8"/>
      <c r="E767" s="8"/>
      <c r="F767" s="8"/>
      <c r="H767" s="2"/>
    </row>
    <row r="768" spans="1:8">
      <c r="A768" s="2"/>
      <c r="B768" s="2"/>
      <c r="C768" s="8"/>
      <c r="E768" s="8"/>
      <c r="F768" s="8"/>
      <c r="H768" s="2"/>
    </row>
    <row r="769" spans="1:8">
      <c r="A769" s="2"/>
      <c r="B769" s="2"/>
      <c r="C769" s="8"/>
      <c r="D769" s="8"/>
      <c r="E769" s="8"/>
      <c r="F769" s="8"/>
      <c r="H769" s="2"/>
    </row>
    <row r="770" spans="1:8">
      <c r="A770" s="2"/>
      <c r="B770" s="2"/>
      <c r="C770" s="8"/>
      <c r="E770" s="8"/>
      <c r="F770" s="14"/>
      <c r="H770" s="2"/>
    </row>
    <row r="771" spans="1:8">
      <c r="A771" s="2"/>
      <c r="B771" s="2"/>
      <c r="C771" s="8"/>
      <c r="E771" s="8"/>
      <c r="F771" s="14"/>
      <c r="H771" s="2"/>
    </row>
    <row r="772" spans="1:8">
      <c r="A772" s="2"/>
      <c r="B772" s="2"/>
      <c r="C772" s="8"/>
      <c r="F772" s="14"/>
      <c r="H772" s="2"/>
    </row>
    <row r="773" spans="1:8">
      <c r="B773" s="2"/>
      <c r="C773" s="8"/>
      <c r="F773" s="8"/>
      <c r="H773" s="2"/>
    </row>
    <row r="774" spans="1:8">
      <c r="C774" s="8"/>
      <c r="F774" s="8"/>
      <c r="H774" s="2"/>
    </row>
    <row r="775" spans="1:8">
      <c r="F775" s="8"/>
      <c r="H775" s="2"/>
    </row>
    <row r="776" spans="1:8">
      <c r="F776" s="8"/>
      <c r="H776" s="2"/>
    </row>
    <row r="777" spans="1:8">
      <c r="F777" s="8"/>
      <c r="H777" s="2"/>
    </row>
    <row r="778" spans="1:8">
      <c r="F778" s="8"/>
      <c r="H778" s="2"/>
    </row>
    <row r="779" spans="1:8">
      <c r="F779" s="8"/>
      <c r="H779" s="2"/>
    </row>
    <row r="780" spans="1:8">
      <c r="F780" s="8"/>
      <c r="H780" s="2"/>
    </row>
    <row r="781" spans="1:8">
      <c r="D781" s="8"/>
      <c r="F781" s="8"/>
      <c r="H781" s="2"/>
    </row>
    <row r="782" spans="1:8">
      <c r="D782" s="8"/>
      <c r="F782" s="8"/>
      <c r="H782" s="2"/>
    </row>
    <row r="783" spans="1:8">
      <c r="D783" s="8"/>
      <c r="F783" s="8"/>
      <c r="H783" s="2"/>
    </row>
    <row r="784" spans="1:8">
      <c r="D784" s="8"/>
      <c r="F784" s="8"/>
      <c r="H784"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activeCell="Q10" sqref="Q10"/>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8" t="s">
        <v>271</v>
      </c>
      <c r="E1" s="1444" t="s">
        <v>2137</v>
      </c>
      <c r="F1" s="1445"/>
      <c r="G1" s="1445"/>
      <c r="H1" s="1445"/>
      <c r="I1" s="1445"/>
      <c r="J1" s="1445"/>
      <c r="K1" s="1446"/>
      <c r="L1" s="1454">
        <f>E143/20/100</f>
        <v>0.39383314060036362</v>
      </c>
      <c r="M1" s="1454"/>
      <c r="N1" s="105" t="s">
        <v>1214</v>
      </c>
      <c r="O1" s="18"/>
      <c r="P1" s="490"/>
      <c r="Q1" s="490"/>
      <c r="R1" s="490"/>
      <c r="S1" s="491"/>
      <c r="T1" s="1118"/>
      <c r="U1" s="1119" t="s">
        <v>3042</v>
      </c>
      <c r="V1" s="1120"/>
      <c r="W1" s="1120"/>
      <c r="X1" s="1121"/>
      <c r="Y1" s="1122"/>
      <c r="Z1" s="27"/>
      <c r="AD1" s="1338"/>
      <c r="AE1" s="1338"/>
      <c r="AF1" s="1338"/>
    </row>
    <row r="2" spans="1:32" ht="13.5" thickBot="1">
      <c r="A2" s="1453"/>
      <c r="B2" s="1109" t="s">
        <v>1137</v>
      </c>
      <c r="C2" s="1110">
        <f>SUM('Damage Calc'!J2:J7)</f>
        <v>1002.0179916839506</v>
      </c>
      <c r="D2" s="1111">
        <f>C2/$C$6</f>
        <v>0.64430892977955134</v>
      </c>
      <c r="E2" s="1440" t="str">
        <f>cycle</f>
        <v>Cycle: 1s/5r   SnD Slack: 1.24</v>
      </c>
      <c r="F2" s="1441"/>
      <c r="G2" s="1441"/>
      <c r="H2" s="1441"/>
      <c r="I2" s="1441"/>
      <c r="J2" s="1441"/>
      <c r="K2" s="1442"/>
      <c r="L2" s="1454">
        <f>(K143/dorate)/100</f>
        <v>0</v>
      </c>
      <c r="M2" s="1454"/>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327.58159382914658</v>
      </c>
      <c r="D3" s="1114">
        <f>C3/$C$6</f>
        <v>0.21063867903293032</v>
      </c>
      <c r="E3" s="1447" t="s">
        <v>2136</v>
      </c>
      <c r="F3" s="1448"/>
      <c r="G3" s="1449" t="s">
        <v>770</v>
      </c>
      <c r="H3" s="1449"/>
      <c r="I3" s="1448" t="s">
        <v>767</v>
      </c>
      <c r="J3" s="1448"/>
      <c r="K3" s="1134" t="s">
        <v>769</v>
      </c>
      <c r="L3" s="1454">
        <f>(ROUNDDOWN(M143/defrating_def,0)*0.04)/100</f>
        <v>0</v>
      </c>
      <c r="M3" s="1454"/>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119.18260098380874</v>
      </c>
      <c r="D4" s="1117">
        <f>C4/$C$6</f>
        <v>7.6635763754271793E-2</v>
      </c>
      <c r="E4" s="1450">
        <f>3524+INT(F143)*10</f>
        <v>9674</v>
      </c>
      <c r="F4" s="1451"/>
      <c r="G4" s="1414">
        <f>(1+'Gear &amp; Buffs'!$P$143/(hasterate*100))</f>
        <v>1.0808524183144852</v>
      </c>
      <c r="H4" s="1414"/>
      <c r="I4" s="1443">
        <f>ap</f>
        <v>3165.528938330071</v>
      </c>
      <c r="J4" s="1443"/>
      <c r="K4" s="1135">
        <f>'Damage Calc'!$Q$42</f>
        <v>4010</v>
      </c>
      <c r="L4" s="1413">
        <f>-0.59/100</f>
        <v>-5.8999999999999999E-3</v>
      </c>
      <c r="M4" s="1413"/>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106.40034376352136</v>
      </c>
      <c r="D5" s="1114">
        <f>C5/$C$6</f>
        <v>6.8416627433246571E-2</v>
      </c>
      <c r="E5" s="1435" t="s">
        <v>2139</v>
      </c>
      <c r="F5" s="1436"/>
      <c r="G5" s="1437" t="s">
        <v>2138</v>
      </c>
      <c r="H5" s="1437"/>
      <c r="I5" s="1436" t="s">
        <v>2140</v>
      </c>
      <c r="J5" s="1436"/>
      <c r="K5" s="1136" t="s">
        <v>2143</v>
      </c>
      <c r="L5" s="1413">
        <f>((CharLevel-BossLevel)*(0.2))/100</f>
        <v>-6.000000000000001E-3</v>
      </c>
      <c r="M5" s="1413"/>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1555.1825302604273</v>
      </c>
      <c r="D6" s="1133">
        <f>D2+D3+D4+D5</f>
        <v>1</v>
      </c>
      <c r="E6" s="1434">
        <f>((E143/agicrit+G143/crrate)/100)+bwrath+(CharLevel-BossLevel)*bosscrit*5-IF(BossLevel*5-CharLevel*5&gt;10, 1.8%, 0)</f>
        <v>0.22111169225140132</v>
      </c>
      <c r="F6" s="1431"/>
      <c r="G6" s="1431">
        <f>'Damage Calc'!Q2+-'Gear &amp; Buffs'!I6</f>
        <v>0.26956097560975611</v>
      </c>
      <c r="H6" s="1431"/>
      <c r="I6" s="1431">
        <f>'Damage Calc'!B19</f>
        <v>4.3902439024390283E-4</v>
      </c>
      <c r="J6" s="1431"/>
      <c r="K6" s="1137">
        <f>'Damage Calc'!B20</f>
        <v>2.0000000000000004E-2</v>
      </c>
      <c r="L6" s="1412">
        <f>MAX((-0.59+E143/20+(K143/dorate)+(ROUNDDOWN(M143/defrating_def,0)*0.04))/100+0.2%*(CharLevel-BossLevel),0%)</f>
        <v>0.3819331406003636</v>
      </c>
      <c r="M6" s="1413"/>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1555.1825302604273</v>
      </c>
      <c r="D7" s="492">
        <f>C7*0.71</f>
        <v>1104.1795964849032</v>
      </c>
      <c r="E7" s="44" t="s">
        <v>1176</v>
      </c>
      <c r="L7" s="1422">
        <f>Talents!H8</f>
        <v>0.46993314060036356</v>
      </c>
      <c r="M7" s="1423"/>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67.753947515643773</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17.807127231675608</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37.162426635389188</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9.7670480259676697</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77.558933726482437</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24" t="s">
        <v>2209</v>
      </c>
      <c r="V22" s="1425"/>
      <c r="W22" s="1425"/>
      <c r="X22" s="1426"/>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17" t="s">
        <v>3266</v>
      </c>
      <c r="V23" s="1421"/>
      <c r="W23" s="1421"/>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19" t="s">
        <v>3267</v>
      </c>
      <c r="V24" s="1416"/>
      <c r="W24" s="1416"/>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19" t="s">
        <v>3268</v>
      </c>
      <c r="V25" s="1416"/>
      <c r="W25" s="1416"/>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17" t="s">
        <v>462</v>
      </c>
      <c r="V26" s="1421"/>
      <c r="W26" s="1421"/>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19" t="s">
        <v>434</v>
      </c>
      <c r="V28" s="1416"/>
      <c r="W28" s="1416"/>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15" t="s">
        <v>2213</v>
      </c>
      <c r="V29" s="1416"/>
      <c r="W29" s="1416"/>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17" t="s">
        <v>435</v>
      </c>
      <c r="V30" s="1421"/>
      <c r="W30" s="1421"/>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17" t="s">
        <v>436</v>
      </c>
      <c r="V31" s="1421"/>
      <c r="W31" s="1421"/>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19" t="s">
        <v>657</v>
      </c>
      <c r="V32" s="1416"/>
      <c r="W32" s="1416"/>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17" t="s">
        <v>658</v>
      </c>
      <c r="V33" s="1421"/>
      <c r="W33" s="1421"/>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19" t="s">
        <v>1114</v>
      </c>
      <c r="V34" s="1420"/>
      <c r="W34" s="1420"/>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19" t="s">
        <v>1115</v>
      </c>
      <c r="V35" s="1420"/>
      <c r="W35" s="1420"/>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17" t="s">
        <v>1121</v>
      </c>
      <c r="V37" s="1418"/>
      <c r="W37" s="141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19" t="s">
        <v>1122</v>
      </c>
      <c r="V38" s="1416"/>
      <c r="W38" s="1416"/>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961</v>
      </c>
      <c r="V39" s="1430"/>
      <c r="W39" s="1430"/>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99.923869007506397</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381.15216877221314</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2" t="s">
        <v>1941</v>
      </c>
      <c r="C78" s="1433"/>
      <c r="D78" s="1148">
        <f>SUM(D10:D76)</f>
        <v>101</v>
      </c>
      <c r="E78" s="1148">
        <f>(SUM(E10:E76)+IF(time=0,0,'Cooldowns Calc'!Y1))*(1+Talents!F33/100)*(1+Talents!I36*3/100)</f>
        <v>675.15470163405371</v>
      </c>
      <c r="F78" s="1148">
        <f>(SUM(F10:F76))*(1+Talents!F33/50)</f>
        <v>431.6</v>
      </c>
      <c r="G78" s="1148">
        <f>SUM(G10:G76)</f>
        <v>159.38461538461539</v>
      </c>
      <c r="H78" s="1148">
        <f>SUM(H10:H76)+Y34</f>
        <v>420.84615384615381</v>
      </c>
      <c r="I78" s="1148">
        <f>(SUM(I10:I76)+E78+D78+120+Y33+Y35+IF(time=0,0,'Cooldowns Calc'!Z1))*deadliness</f>
        <v>1792.3120007333912</v>
      </c>
      <c r="J78" s="1148">
        <f>SUM(J10:J76)+Y28+Y29</f>
        <v>0</v>
      </c>
      <c r="K78" s="1148">
        <f>SUM(K10:K76)+Y32</f>
        <v>0</v>
      </c>
      <c r="L78" s="1148">
        <f>SUM(L10:L76)</f>
        <v>53.42307692307692</v>
      </c>
      <c r="M78" s="1148">
        <f>SUM(M10:M76)</f>
        <v>0</v>
      </c>
      <c r="N78" s="1148"/>
      <c r="O78" s="1148"/>
      <c r="P78" s="1148">
        <f>SUM(P10:P76)</f>
        <v>127.49804426514967</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71.405470163405369</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27" t="s">
        <v>3043</v>
      </c>
      <c r="C143" s="1428"/>
      <c r="D143" s="1150">
        <f>D78+SUM(D80:D141)</f>
        <v>262.68</v>
      </c>
      <c r="E143" s="1150">
        <f>E78+SUM(E80:E141)*(1+Talents!F33/100)*(1+Talents!I36*3/100)</f>
        <v>787.66628120072721</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3165.528938330071</v>
      </c>
      <c r="J143" s="1150">
        <f>SUM(J78:J141)</f>
        <v>0</v>
      </c>
      <c r="K143" s="1150">
        <f>SUM(K78:K141)</f>
        <v>0</v>
      </c>
      <c r="L143" s="1150">
        <f>SUM(L78:L141)</f>
        <v>53.42307692307692</v>
      </c>
      <c r="M143" s="1150">
        <f>SUM(M78:M141)</f>
        <v>0</v>
      </c>
      <c r="N143" s="1150"/>
      <c r="O143" s="1150"/>
      <c r="P143" s="1150">
        <f>SUM(P78:P142)</f>
        <v>127.49804426514967</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1.24</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5" t="s">
        <v>593</v>
      </c>
      <c r="F2" s="1015">
        <f>ap</f>
        <v>3165.528938330071</v>
      </c>
      <c r="G2" s="906" t="s">
        <v>598</v>
      </c>
      <c r="H2" s="1015">
        <f>hp</f>
        <v>9674</v>
      </c>
      <c r="I2" s="1555"/>
      <c r="J2" s="1556"/>
      <c r="K2" s="1557"/>
      <c r="L2" s="907"/>
      <c r="M2" s="1512" t="s">
        <v>2319</v>
      </c>
      <c r="N2" s="1513"/>
      <c r="O2" s="1023" t="str">
        <f>ROUND(SUM('Damage Calc'!$J$2:$J$7),2)&amp;"  "</f>
        <v xml:space="preserve">1002.02  </v>
      </c>
      <c r="P2" s="1506" t="str">
        <f>ROUND(SUM('Damage Calc'!$J$2:$J$7)/'Damage Calc'!$J$16*100,0)&amp;"%  "</f>
        <v xml:space="preserve">64%  </v>
      </c>
      <c r="Q2" s="1507"/>
    </row>
    <row r="3" spans="1:26" ht="12.75" customHeight="1">
      <c r="A3" s="1536" t="s">
        <v>1537</v>
      </c>
      <c r="B3" s="1548">
        <f>'Damage Calc'!$J$16</f>
        <v>1555.1825302604273</v>
      </c>
      <c r="C3" s="1548"/>
      <c r="D3" s="1549"/>
      <c r="E3" s="1011" t="s">
        <v>594</v>
      </c>
      <c r="F3" s="1012">
        <f>'Damage Calc'!Q2-Talents!F4</f>
        <v>0.26956097560975611</v>
      </c>
      <c r="G3" s="1011" t="s">
        <v>599</v>
      </c>
      <c r="H3" s="1012">
        <f>dodge</f>
        <v>0.3819331406003636</v>
      </c>
      <c r="I3" s="1558" t="s">
        <v>2315</v>
      </c>
      <c r="J3" s="1469"/>
      <c r="K3" s="1470"/>
      <c r="L3" s="1016">
        <f>CEILING(($F$4*100)*(10*conv),1)</f>
        <v>1</v>
      </c>
      <c r="M3" s="1525" t="str">
        <f>"  "&amp;instatklng&amp;" DPS"</f>
        <v xml:space="preserve">  Sinister Strike DPS</v>
      </c>
      <c r="N3" s="1526"/>
      <c r="O3" s="1080" t="str">
        <f>ROUND('Damage Calc'!$J$8,2)&amp;"  "</f>
        <v xml:space="preserve">327.58  </v>
      </c>
      <c r="P3" s="1508" t="str">
        <f>ROUND('Damage Calc'!$J$8/'Damage Calc'!$J$16*100,0)&amp;"%  "</f>
        <v xml:space="preserve">21%  </v>
      </c>
      <c r="Q3" s="1509"/>
    </row>
    <row r="4" spans="1:26" ht="12.75" customHeight="1" thickBot="1">
      <c r="A4" s="1537"/>
      <c r="B4" s="1550"/>
      <c r="C4" s="1550"/>
      <c r="D4" s="1551"/>
      <c r="E4" s="1077" t="s">
        <v>595</v>
      </c>
      <c r="F4" s="1017">
        <f>bMHmiss</f>
        <v>4.3902439024390283E-4</v>
      </c>
      <c r="G4" s="1018" t="s">
        <v>600</v>
      </c>
      <c r="H4" s="1019">
        <f>'Gear &amp; Buffs'!$J$143</f>
        <v>0</v>
      </c>
      <c r="I4" s="1559" t="s">
        <v>2316</v>
      </c>
      <c r="J4" s="1534"/>
      <c r="K4" s="1535"/>
      <c r="L4" s="1076">
        <f>'Damage Calc'!D34</f>
        <v>30</v>
      </c>
      <c r="M4" s="1527" t="s">
        <v>2320</v>
      </c>
      <c r="N4" s="1528"/>
      <c r="O4" s="1024" t="str">
        <f>ROUND('Damage Calc'!$J$10+'Damage Calc'!$J$11+'Damage Calc'!$J$12,2)&amp;"  "</f>
        <v xml:space="preserve">119.18  </v>
      </c>
      <c r="P4" s="1510" t="str">
        <f>ROUND(('Damage Calc'!$J$10+'Damage Calc'!$J$11+'Damage Calc'!$J$12)/'Damage Calc'!$J$16*100,0)&amp;"%  "</f>
        <v xml:space="preserve">8%  </v>
      </c>
      <c r="Q4" s="1511"/>
    </row>
    <row r="5" spans="1:26" ht="12.75" customHeight="1" thickBot="1">
      <c r="A5" s="1008" t="s">
        <v>1136</v>
      </c>
      <c r="B5" s="1538">
        <f>'Gear &amp; Buffs'!$C$7</f>
        <v>1555.1825302604273</v>
      </c>
      <c r="C5" s="1538"/>
      <c r="D5" s="1539"/>
      <c r="E5" s="1011" t="s">
        <v>596</v>
      </c>
      <c r="F5" s="1012">
        <f>bMHcrit</f>
        <v>0.22111169225140132</v>
      </c>
      <c r="G5" s="1081" t="s">
        <v>1320</v>
      </c>
      <c r="H5" s="1012">
        <f>('Gear &amp; Buffs'!J143/(25*conv)+Talents!I17)/100</f>
        <v>0</v>
      </c>
      <c r="I5" s="1468"/>
      <c r="J5" s="1469"/>
      <c r="K5" s="1470"/>
      <c r="L5" s="1020"/>
      <c r="M5" s="1529" t="s">
        <v>2321</v>
      </c>
      <c r="N5" s="1530"/>
      <c r="O5" s="1082" t="str">
        <f>ROUND('Damage Calc'!$J$13+'Damage Calc'!$J$14+'Damage Calc'!$J$15+'Damage Calc'!$J$9,2)&amp;"  "</f>
        <v xml:space="preserve">106.4  </v>
      </c>
      <c r="P5" s="1462" t="str">
        <f>ROUND(('Damage Calc'!$J$13+'Damage Calc'!$J$14+'Damage Calc'!$J$15+'Damage Calc'!$J$9)/'Damage Calc'!$J$16*100,0)&amp;"%  "</f>
        <v xml:space="preserve">7%  </v>
      </c>
      <c r="Q5" s="1463"/>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533" t="s">
        <v>2317</v>
      </c>
      <c r="J6" s="1534"/>
      <c r="K6" s="1535"/>
      <c r="L6" s="1017">
        <f>sndup</f>
        <v>0.9966666666666667</v>
      </c>
      <c r="M6" s="1466" t="s">
        <v>2322</v>
      </c>
      <c r="N6" s="1467"/>
      <c r="O6" s="1009" t="str">
        <f>ROUND('Damage Calc'!$J$16,2)&amp;"  "</f>
        <v xml:space="preserve">1555.18  </v>
      </c>
      <c r="P6" s="1464" t="str">
        <f>"100%  "</f>
        <v xml:space="preserve">100%  </v>
      </c>
      <c r="Q6" s="1465"/>
    </row>
    <row r="7" spans="1:26" ht="12.75" customHeight="1">
      <c r="A7" s="1515"/>
      <c r="B7" s="1516"/>
      <c r="C7" s="1516"/>
      <c r="D7" s="1517"/>
      <c r="E7" s="1011" t="s">
        <v>633</v>
      </c>
      <c r="F7" s="1012">
        <f>bMHpar</f>
        <v>0</v>
      </c>
      <c r="G7" s="1081" t="s">
        <v>2167</v>
      </c>
      <c r="H7" s="1012">
        <f>MAX(5%+0.2%*(CharLevel-BossLevel)+(ROUNDDOWN('Gear &amp; Buffs'!M143/defrating_def,0)*0.04/100),0%)</f>
        <v>4.4000000000000004E-2</v>
      </c>
      <c r="I7" s="1468" t="s">
        <v>2318</v>
      </c>
      <c r="J7" s="1469"/>
      <c r="K7" s="1470"/>
      <c r="L7" s="1022">
        <f>ruptup</f>
        <v>0.98</v>
      </c>
      <c r="M7" s="1521" t="s">
        <v>2323</v>
      </c>
      <c r="N7" s="1522"/>
      <c r="O7" s="1010" t="str">
        <f>ROUND('Gear &amp; Buffs'!$C$7,2)&amp;"  "</f>
        <v xml:space="preserve">1555.18  </v>
      </c>
      <c r="P7" s="1473"/>
      <c r="Q7" s="1474"/>
    </row>
    <row r="8" spans="1:26" ht="12.75" customHeight="1" thickBot="1">
      <c r="A8" s="1518"/>
      <c r="B8" s="1519"/>
      <c r="C8" s="1519"/>
      <c r="D8" s="1520"/>
      <c r="E8" s="1013" t="s">
        <v>597</v>
      </c>
      <c r="F8" s="1078">
        <f>'Damage Calc'!$Q$42</f>
        <v>4010</v>
      </c>
      <c r="G8" s="1013" t="s">
        <v>2166</v>
      </c>
      <c r="H8" s="1014">
        <f>H3+H6+H7</f>
        <v>0.46993314060036356</v>
      </c>
      <c r="I8" s="1488" t="s">
        <v>1177</v>
      </c>
      <c r="J8" s="1489"/>
      <c r="K8" s="1490"/>
      <c r="L8" s="1079">
        <f>B3*0.71</f>
        <v>1104.1795964849032</v>
      </c>
      <c r="M8" s="1523" t="s">
        <v>2265</v>
      </c>
      <c r="N8" s="1524"/>
      <c r="O8" s="1025"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78" t="s">
        <v>182</v>
      </c>
      <c r="E11" s="1478">
        <v>1</v>
      </c>
      <c r="F11" s="1478"/>
      <c r="G11" s="990"/>
      <c r="H11" s="990"/>
      <c r="I11" s="991"/>
      <c r="J11"/>
      <c r="K11" s="1003"/>
      <c r="L11" s="995"/>
      <c r="M11" s="995"/>
      <c r="N11" s="995"/>
      <c r="O11" s="1004"/>
      <c r="S11"/>
      <c r="T11"/>
      <c r="U11"/>
      <c r="V11"/>
      <c r="W11"/>
      <c r="X11"/>
      <c r="Y11"/>
      <c r="Z11"/>
    </row>
    <row r="12" spans="1:26" ht="21.75" customHeight="1" thickBot="1">
      <c r="A12" s="1514" t="s">
        <v>2145</v>
      </c>
      <c r="B12" s="1476"/>
      <c r="C12" s="1476"/>
      <c r="D12" s="1475" t="s">
        <v>2146</v>
      </c>
      <c r="E12" s="1476"/>
      <c r="F12" s="1476"/>
      <c r="G12" s="1475" t="s">
        <v>248</v>
      </c>
      <c r="H12" s="1476"/>
      <c r="I12" s="1477"/>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485" t="s">
        <v>880</v>
      </c>
      <c r="L13" s="1486"/>
      <c r="M13" s="1486"/>
      <c r="N13" s="1486">
        <v>1</v>
      </c>
      <c r="O13" s="1487"/>
      <c r="Q13" s="1479" t="s">
        <v>881</v>
      </c>
      <c r="R13" s="1480"/>
      <c r="S13" s="1480"/>
      <c r="T13" s="1480"/>
      <c r="U13" s="1480"/>
      <c r="V13" s="1481"/>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482" t="s">
        <v>308</v>
      </c>
      <c r="L22" s="1483"/>
      <c r="M22" s="1483"/>
      <c r="N22" s="1483"/>
      <c r="O22" s="1484"/>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55" t="s">
        <v>1440</v>
      </c>
      <c r="B39" s="1456"/>
      <c r="C39" s="494">
        <f>CharLevel-9-I39</f>
        <v>0</v>
      </c>
      <c r="D39" s="999"/>
      <c r="E39" s="999"/>
      <c r="F39" s="999"/>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7"/>
      <c r="B43" s="1501"/>
      <c r="C43" s="1501"/>
      <c r="D43" s="501"/>
      <c r="E43" s="501"/>
      <c r="F43" s="501"/>
      <c r="G43" s="502"/>
      <c r="H43" s="64"/>
      <c r="I43" s="64"/>
      <c r="J43" s="64"/>
    </row>
    <row r="44" spans="1:18">
      <c r="A44" s="1038"/>
      <c r="B44" s="1502"/>
      <c r="C44" s="1502"/>
      <c r="D44" s="499"/>
      <c r="E44" s="499"/>
      <c r="F44" s="499"/>
      <c r="G44" s="500"/>
      <c r="H44" s="64"/>
      <c r="I44" s="64"/>
      <c r="J44" s="64"/>
    </row>
    <row r="45" spans="1:18">
      <c r="A45" s="1029"/>
      <c r="B45" s="1493" t="s">
        <v>863</v>
      </c>
      <c r="C45" s="1495"/>
      <c r="D45" s="1493" t="s">
        <v>862</v>
      </c>
      <c r="E45" s="1494"/>
      <c r="F45" s="1493" t="s">
        <v>861</v>
      </c>
      <c r="G45" s="149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5">
        <v>0</v>
      </c>
      <c r="D55" s="1083" t="s">
        <v>773</v>
      </c>
      <c r="E55" s="1084"/>
      <c r="F55" s="1098">
        <v>13</v>
      </c>
      <c r="H55" s="64"/>
      <c r="I55" s="64"/>
      <c r="J55" s="64"/>
      <c r="K55" s="64"/>
      <c r="L55" s="64"/>
      <c r="P55" s="64"/>
      <c r="Q55" s="64"/>
    </row>
    <row r="56" spans="1:25">
      <c r="A56" s="1491" t="s">
        <v>774</v>
      </c>
      <c r="B56" s="1492"/>
      <c r="C56" s="1096">
        <v>0</v>
      </c>
      <c r="D56" s="1085" t="s">
        <v>775</v>
      </c>
      <c r="E56" s="1086"/>
      <c r="F56" s="1097">
        <v>8</v>
      </c>
      <c r="H56" s="64"/>
      <c r="I56" s="64"/>
      <c r="J56" s="64"/>
      <c r="K56" s="64"/>
      <c r="L56" s="64"/>
      <c r="O56" s="167"/>
      <c r="P56" s="64"/>
      <c r="Q56" s="64"/>
    </row>
    <row r="57" spans="1:25">
      <c r="A57" s="1491" t="s">
        <v>776</v>
      </c>
      <c r="B57" s="1492"/>
      <c r="C57" s="1097">
        <v>0</v>
      </c>
      <c r="D57" s="1085" t="s">
        <v>777</v>
      </c>
      <c r="E57" s="1086"/>
      <c r="F57" s="1097">
        <v>8</v>
      </c>
      <c r="K57" s="64"/>
      <c r="L57" s="64"/>
      <c r="N57" s="167"/>
      <c r="O57" s="167"/>
      <c r="P57" s="64"/>
      <c r="Q57" s="64"/>
    </row>
    <row r="58" spans="1:25">
      <c r="A58" s="1491" t="s">
        <v>778</v>
      </c>
      <c r="B58" s="1492"/>
      <c r="C58" s="1097">
        <v>0</v>
      </c>
      <c r="D58" s="1085" t="s">
        <v>779</v>
      </c>
      <c r="E58" s="1086"/>
      <c r="F58" s="1097">
        <v>8</v>
      </c>
      <c r="M58" s="64"/>
      <c r="N58" s="64"/>
      <c r="O58" s="64"/>
      <c r="P58" s="64"/>
      <c r="Q58" s="64"/>
    </row>
    <row r="59" spans="1:25" ht="13.5" thickBot="1">
      <c r="A59" s="1491" t="s">
        <v>1473</v>
      </c>
      <c r="B59" s="149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election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1555.1825302604273</v>
      </c>
      <c r="H1" s="1562"/>
      <c r="I1" s="1563"/>
    </row>
    <row r="2" spans="2:10" ht="13.5" customHeight="1" thickBot="1">
      <c r="B2" s="1561"/>
      <c r="F2" s="1560"/>
      <c r="G2" s="1564"/>
      <c r="H2" s="1564"/>
      <c r="I2" s="1565"/>
    </row>
    <row r="3" spans="2:10">
      <c r="B3" s="888">
        <v>1</v>
      </c>
      <c r="F3" s="1008" t="s">
        <v>1136</v>
      </c>
      <c r="G3" s="1538">
        <f>'Gear &amp; Buffs'!$C$7</f>
        <v>1555.1825302604273</v>
      </c>
      <c r="H3" s="1538"/>
      <c r="I3" s="1539"/>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L6" sqref="L6"/>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2.5784731215953021</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570.51064106224726</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0.77888830774859863</v>
      </c>
      <c r="U3" s="93">
        <f>T3/T5</f>
        <v>0.77888830774859863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16.158312420112797</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12.395139788261968</v>
      </c>
      <c r="J4" s="86">
        <f>eec+I1*(Slayer2val-1)</f>
        <v>13.168681724740559</v>
      </c>
      <c r="K4" s="29">
        <f>armor</f>
        <v>0.7417881608993474</v>
      </c>
      <c r="L4" s="29">
        <f>armor</f>
        <v>0.7417881608993474</v>
      </c>
      <c r="N4" s="32" t="s">
        <v>574</v>
      </c>
      <c r="O4" s="33">
        <f>P4*(P1/(1-P1))*(1-Qrec)+P4</f>
        <v>35</v>
      </c>
      <c r="P4" s="33">
        <f>35-as4p*10</f>
        <v>35</v>
      </c>
      <c r="Q4" s="33"/>
      <c r="R4" s="33" t="s">
        <v>575</v>
      </c>
      <c r="S4" s="33">
        <f>185+40*dm2p</f>
        <v>185</v>
      </c>
      <c r="T4" s="92">
        <f>fincrit</f>
        <v>0.22111169225140132</v>
      </c>
      <c r="U4" s="93">
        <f>T4/T5</f>
        <v>0.22111169225140132</v>
      </c>
      <c r="V4" s="1177" t="s">
        <v>1543</v>
      </c>
      <c r="W4" s="1178"/>
      <c r="X4" s="1182">
        <f>VLOOKUP($X$2,CHOOSE({1,2},AG56:AG284,D56:D284),2,FALSE)/VLOOKUP($X$2,CHOOSE({1,2},AG56:AG284,Q56:Q284),2,FALSE)</f>
        <v>6.1887651012073899E-2</v>
      </c>
      <c r="Y4" s="1182">
        <f>IF($W$15&gt;1, X4/$W$15, X4)</f>
        <v>6.1887651012073899E-2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1.2211116922514011</v>
      </c>
      <c r="Q5" s="33"/>
      <c r="R5" s="33" t="s">
        <v>577</v>
      </c>
      <c r="S5" s="90">
        <f>(ohavg+ap/APtoDPS*OHnorm)*(instactualhit+(1+((leth*0.06+2)-1)*(cfact-1))*instactualcrit)*(1+sa*0.1)*(0.5+0.05*dws)+avipdam</f>
        <v>850.31292568550964</v>
      </c>
      <c r="T5" s="92">
        <f>T4+T3</f>
        <v>1</v>
      </c>
      <c r="U5" s="91"/>
      <c r="V5" s="1177" t="s">
        <v>1545</v>
      </c>
      <c r="W5" s="1178"/>
      <c r="X5" s="1182">
        <f>VLOOKUP($X$2,CHOOSE({1,2},AG56:AG284,I56:I284),2,FALSE)/VLOOKUP($X$2,CHOOSE({1,2},AG56:AG284,Q56:Q284),2,FALSE)+IF(arush,IF(time=0,MIN(1,150/(instcost*N43+evicost))*5/300,MIN(1,totalARTicks*10/(instcost*N43+evicost))*5/time),0)</f>
        <v>0.30886886428075361</v>
      </c>
      <c r="Y5" s="1182">
        <f>IF($W$15&gt;1, X5/$W$15, X5)</f>
        <v>0.30886886428075361</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797.97744112826308</v>
      </c>
      <c r="P6" s="33"/>
      <c r="Q6" s="33"/>
      <c r="R6" s="33" t="s">
        <v>581</v>
      </c>
      <c r="S6" s="90">
        <f>(1.5+talSCallInstBon)*(MHavg+ap/APtoDPS*MHnorm+170)*(instactualhit+(1+((leth*0.06+2)-1)*(cfact-1))*instactualcrit)*(1+sa*0.1+0.04*opp+0.02*agg+Slayer4value-1)</f>
        <v>2096.8643883523287</v>
      </c>
      <c r="T6" s="92">
        <f>insthit</f>
        <v>0.76331054159362666</v>
      </c>
      <c r="U6" s="93">
        <f>T6/T8</f>
        <v>0.77888830774859863</v>
      </c>
      <c r="V6" s="1177" t="s">
        <v>1546</v>
      </c>
      <c r="W6" s="1178"/>
      <c r="X6" s="1179">
        <f>IF(VLOOKUP($X$2,CHOOSE({1,2},AG56:AG284,AB56:AB284),2,FALSE)&gt;0,VLOOKUP($X$2,CHOOSE({1,2},AG56:AG284,AB56:AB284),2,FALSE)/VLOOKUP($X$2,CHOOSE({1,2},AG56:AG284,E56:E284),2,FALSE),F24)</f>
        <v>1459.271084457818</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124.72493981909828</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1288.9417237511241</v>
      </c>
      <c r="P7" s="90">
        <f>O7/O2</f>
        <v>32.092553081201771</v>
      </c>
      <c r="Q7" s="33" t="s">
        <v>583</v>
      </c>
      <c r="R7" s="33" t="s">
        <v>584</v>
      </c>
      <c r="S7" s="90">
        <f>(MHavg+ap/APtoDPS*MHnorm+98)*(instactualhit+(1+((leth*0.06+2)-1)*(cfact-1))*instactualcrit)*(1+sa*0.1+0.02*agg+Slayer4value-1)</f>
        <v>1288.9417237511241</v>
      </c>
      <c r="T7" s="92">
        <f>instcrit</f>
        <v>0.2166894584063733</v>
      </c>
      <c r="U7" s="93">
        <f>T7/T8</f>
        <v>0.22111169225140132</v>
      </c>
      <c r="V7" s="1177" t="s">
        <v>1548</v>
      </c>
      <c r="W7" s="1178"/>
      <c r="X7" s="1179">
        <f>VLOOKUP($X$2,CHOOSE({1,2},AG56:AG284,AA56:AA284),2,FALSE)</f>
        <v>1759.726945199217</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12.395139788261968</v>
      </c>
      <c r="I8" s="86"/>
      <c r="J8" s="86"/>
      <c r="N8" s="32"/>
      <c r="O8" s="98"/>
      <c r="P8" s="33"/>
      <c r="Q8" s="33"/>
      <c r="R8" s="33" t="s">
        <v>585</v>
      </c>
      <c r="S8" s="90">
        <f>Slayer4value*(MHavg+ap/APtoDPS*MHnorm)*(1.1+talSCallInstBon)*(instactualhit+(1+((leth*0.06+2)-1)*(cfact-1))*instactualcrit)+420*(1+raidcrit)*debuffon</f>
        <v>1606.6265361415176</v>
      </c>
      <c r="T8" s="92">
        <f>T6+T7</f>
        <v>0.98</v>
      </c>
      <c r="U8" s="91"/>
      <c r="V8" s="1184" t="s">
        <v>1549</v>
      </c>
      <c r="W8" s="1178"/>
      <c r="X8" s="1179">
        <f>VLOOKUP($X$2,CHOOSE({1,2},AG56:AG284,Z56:Z284),2,FALSE)</f>
        <v>2869.3780203980577</v>
      </c>
      <c r="Y8" s="1179">
        <f>X8/$Z$3</f>
        <v>177.57906554811046</v>
      </c>
      <c r="Z8" s="1179"/>
      <c r="AA8" s="1178"/>
      <c r="AB8" s="1181"/>
      <c r="AC8" s="27"/>
      <c r="AD8" s="27"/>
      <c r="AE8" s="197"/>
    </row>
    <row r="9" spans="2:31">
      <c r="B9" s="392"/>
      <c r="C9" s="393"/>
      <c r="D9" s="389"/>
      <c r="E9" s="393"/>
      <c r="F9" s="389"/>
      <c r="G9" t="s">
        <v>324</v>
      </c>
      <c r="H9">
        <f>sndeec</f>
        <v>13.168681724740559</v>
      </c>
      <c r="I9" s="28"/>
      <c r="J9" s="395"/>
      <c r="K9" s="394"/>
      <c r="L9" s="394"/>
      <c r="N9" s="32"/>
      <c r="O9" s="99"/>
      <c r="P9" s="33"/>
      <c r="Q9" s="33"/>
      <c r="R9" s="33" t="s">
        <v>586</v>
      </c>
      <c r="S9" s="90">
        <f>((MHavg+ap/APtoDPS*MHspd)*1.25)*(instactualhit+(1+((leth*0.06+2)-1)*(cfact-1))*instactualcrit)</f>
        <v>1302.8717781328157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2913.1167823138389</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6.1887651012073899E-2</v>
      </c>
      <c r="AB13" s="1182">
        <f>IF($W$15&gt;1, AA13/$W$15, AA13)</f>
        <v>6.1887651012073899E-2</v>
      </c>
      <c r="AE13" s="197"/>
    </row>
    <row r="14" spans="2:31">
      <c r="B14" s="207" t="s">
        <v>126</v>
      </c>
      <c r="C14">
        <v>2</v>
      </c>
      <c r="D14" s="25">
        <f>(6+3*C14+3*nb2p)*(1+0.15*isnd)</f>
        <v>21.75</v>
      </c>
      <c r="E14" s="397">
        <f>25-(5*relent*C14)-(25*C3)</f>
        <v>15</v>
      </c>
      <c r="F14" s="374" t="s">
        <v>322</v>
      </c>
      <c r="G14" s="389"/>
      <c r="H14" s="1581" t="s">
        <v>319</v>
      </c>
      <c r="I14" s="1582"/>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9" t="s">
        <v>323</v>
      </c>
      <c r="I15" s="1580"/>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0.43500579418946117</v>
      </c>
      <c r="X15" s="1182">
        <f>envsec+easec+evisec+rupsec+sndsec+instsec</f>
        <v>0.43500579418946117</v>
      </c>
      <c r="Y15" s="1191"/>
      <c r="Z15" s="1191"/>
      <c r="AA15" s="1191"/>
      <c r="AB15" s="1191"/>
      <c r="AE15" s="197"/>
    </row>
    <row r="16" spans="2:31">
      <c r="B16" s="207" t="s">
        <v>126</v>
      </c>
      <c r="C16">
        <v>4</v>
      </c>
      <c r="D16" s="25">
        <f>(6+3*C16+3*nb2p)*(1+0.15*isnd)</f>
        <v>30.45</v>
      </c>
      <c r="E16" s="397">
        <f>25-(5*relent*C16)-(25*C5)</f>
        <v>5</v>
      </c>
      <c r="F16" s="374" t="s">
        <v>322</v>
      </c>
      <c r="G16" s="389"/>
      <c r="H16" s="1587"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6"/>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7"/>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384.0290554420975</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652.83956269602766</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921.6500699499577</v>
      </c>
      <c r="G22" s="398"/>
      <c r="H22" s="1577" t="s">
        <v>319</v>
      </c>
      <c r="I22" s="1578"/>
      <c r="J22" s="1288">
        <v>1</v>
      </c>
      <c r="K22" s="1289">
        <v>2</v>
      </c>
      <c r="L22" s="1289">
        <v>3</v>
      </c>
      <c r="M22" s="1289">
        <v>4</v>
      </c>
      <c r="N22" s="1290">
        <v>5</v>
      </c>
      <c r="P22" s="1577" t="s">
        <v>319</v>
      </c>
      <c r="Q22" s="157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1190.4605772038879</v>
      </c>
      <c r="H23" s="1585" t="s">
        <v>331</v>
      </c>
      <c r="I23" s="1586"/>
      <c r="J23" s="1193"/>
      <c r="K23" s="1194"/>
      <c r="L23" s="1194"/>
      <c r="M23" s="1194"/>
      <c r="N23" s="1195"/>
      <c r="P23" s="1588" t="s">
        <v>331</v>
      </c>
      <c r="Q23" s="158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1459.271084457818</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450.62115753320285</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776.55289383300715</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1187.7952088994127</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1462.7610770493147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1759.726945199217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394.8585070038535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789.71701400770701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1184.5755210115606</v>
      </c>
      <c r="H36" s="1200">
        <v>3</v>
      </c>
      <c r="I36" s="1201">
        <v>3</v>
      </c>
      <c r="J36" s="1218">
        <v>0</v>
      </c>
      <c r="K36" s="1223">
        <v>0</v>
      </c>
      <c r="L36" s="1217">
        <f>L32*(1-$Q$46)</f>
        <v>0.39999999999999991</v>
      </c>
      <c r="M36" s="1203">
        <f>M32*(1-$Q$46)</f>
        <v>0.39999999999999991</v>
      </c>
      <c r="N36" s="1204">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1579.434028015414</v>
      </c>
      <c r="H37" s="1200">
        <v>4</v>
      </c>
      <c r="I37" s="1201">
        <v>3</v>
      </c>
      <c r="J37" s="1218">
        <v>0</v>
      </c>
      <c r="K37" s="1223">
        <v>0</v>
      </c>
      <c r="L37" s="1217">
        <f>L32*$Q$46</f>
        <v>0</v>
      </c>
      <c r="M37" s="1217">
        <f>M32*$Q$46+M33*(1-$Q$46)</f>
        <v>0.60000000000000009</v>
      </c>
      <c r="N37" s="1204">
        <f>N32*$Q$46+N33*(1-$Q$46)</f>
        <v>0.60000000000000009</v>
      </c>
      <c r="P37" s="1587"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1974.2925350192679</v>
      </c>
      <c r="H38" s="1206">
        <v>5</v>
      </c>
      <c r="I38" s="1207">
        <v>3</v>
      </c>
      <c r="J38" s="1219">
        <v>0</v>
      </c>
      <c r="K38" s="1220">
        <v>0</v>
      </c>
      <c r="L38" s="1220">
        <v>0</v>
      </c>
      <c r="M38" s="1209">
        <f>M33*$Q$46</f>
        <v>0</v>
      </c>
      <c r="N38" s="1224">
        <f>N33*$Q$46+N34</f>
        <v>0</v>
      </c>
      <c r="P38" s="1566"/>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67"/>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6"/>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7"/>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74" t="s">
        <v>3103</v>
      </c>
      <c r="N51" s="1574"/>
    </row>
    <row r="52" spans="2:43" ht="30">
      <c r="B52" s="1366" t="s">
        <v>338</v>
      </c>
      <c r="C52" s="1366"/>
      <c r="D52" s="1366"/>
      <c r="E52" s="1366"/>
      <c r="F52" s="1366"/>
      <c r="G52" s="1366"/>
      <c r="H52" s="1366"/>
      <c r="I52" s="1367" t="s">
        <v>1537</v>
      </c>
      <c r="J52" s="1368">
        <f>'Damage Calc'!$J$16</f>
        <v>1555.1825302604273</v>
      </c>
      <c r="K52" s="1367"/>
      <c r="L52" s="1369">
        <f>'Gear &amp; Buffs'!$C$7</f>
        <v>1555.1825302604273</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5" t="s">
        <v>3031</v>
      </c>
    </row>
    <row r="54" spans="2:43">
      <c r="B54" s="1575"/>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4"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2.9096328672793459</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382.44868430711233</v>
      </c>
      <c r="Z56" s="446">
        <v>0</v>
      </c>
      <c r="AA56" s="446">
        <f>SUMPRODUCT($F$27:$F$29,$J$16:$J$18)*MIN(Q56/O56,1)*X56</f>
        <v>163.89276633125885</v>
      </c>
      <c r="AB56" s="446">
        <v>0</v>
      </c>
      <c r="AC56" s="446">
        <v>0</v>
      </c>
      <c r="AD56" s="446">
        <v>0</v>
      </c>
      <c r="AE56" s="446">
        <v>0</v>
      </c>
      <c r="AF56" s="447">
        <f t="shared" ref="AF56:AF81" si="7">SUM(Y56:AE56)</f>
        <v>546.34145063837116</v>
      </c>
      <c r="AG56" s="452">
        <f t="shared" ref="AG56:AG87" si="8">IF(AND(forceea,W56=0),0,IF(time=0, AF56/Q56, IF(time&lt;Q56, 0, AF56/Q56))*AQ56)</f>
        <v>187.76989247761284</v>
      </c>
      <c r="AH56" s="453">
        <v>0</v>
      </c>
      <c r="AI56" s="104">
        <f t="shared" ref="AI56:AI87" si="9">O56-$Q56</f>
        <v>5.0903671327206546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5.7464919835776227</v>
      </c>
      <c r="R57" s="1309">
        <v>0</v>
      </c>
      <c r="S57" s="1309">
        <f>(I57+1-$J$15)*$O$2+D57*$O$3</f>
        <v>105.32653061224489</v>
      </c>
      <c r="T57" s="1309">
        <v>0</v>
      </c>
      <c r="U57" s="450">
        <v>0</v>
      </c>
      <c r="V57" s="450">
        <f t="shared" si="4"/>
        <v>1</v>
      </c>
      <c r="W57" s="450">
        <v>0</v>
      </c>
      <c r="X57" s="451">
        <f t="shared" si="5"/>
        <v>1</v>
      </c>
      <c r="Y57" s="446">
        <f t="shared" si="6"/>
        <v>1338.5703950748932</v>
      </c>
      <c r="Z57" s="446">
        <v>0</v>
      </c>
      <c r="AA57" s="446">
        <f>SUMPRODUCT($F$28:$F$30,$K$16:$K$18)*MIN(Q57/O57,1)*X57</f>
        <v>446.24549792353804</v>
      </c>
      <c r="AB57" s="446">
        <v>0</v>
      </c>
      <c r="AC57" s="446">
        <v>0</v>
      </c>
      <c r="AD57" s="446">
        <v>0</v>
      </c>
      <c r="AE57" s="446">
        <v>0</v>
      </c>
      <c r="AF57" s="447">
        <f t="shared" si="7"/>
        <v>1784.8158929984313</v>
      </c>
      <c r="AG57" s="452">
        <f t="shared" si="8"/>
        <v>310.59225316925432</v>
      </c>
      <c r="AH57" s="453">
        <v>0</v>
      </c>
      <c r="AI57" s="104">
        <f t="shared" si="9"/>
        <v>4.2535080164223773</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8.5833510998758982</v>
      </c>
      <c r="R58" s="1309">
        <v>0</v>
      </c>
      <c r="S58" s="1309">
        <f>(I58+1-$J$15)*$O$2+D58*$O$3</f>
        <v>145.48979591836735</v>
      </c>
      <c r="T58" s="1309">
        <v>0</v>
      </c>
      <c r="U58" s="450">
        <v>0</v>
      </c>
      <c r="V58" s="450">
        <f t="shared" si="4"/>
        <v>1</v>
      </c>
      <c r="W58" s="450">
        <v>0</v>
      </c>
      <c r="X58" s="451">
        <f t="shared" si="5"/>
        <v>1</v>
      </c>
      <c r="Y58" s="446">
        <f t="shared" si="6"/>
        <v>2294.6921058426742</v>
      </c>
      <c r="Z58" s="446">
        <v>0</v>
      </c>
      <c r="AA58" s="446">
        <f>SUMPRODUCT($F$29:$F$31,$L$16:$L$18)*MIN(Q58/O58,1)*X58</f>
        <v>849.60527606117478</v>
      </c>
      <c r="AB58" s="446">
        <v>0</v>
      </c>
      <c r="AC58" s="446">
        <v>0</v>
      </c>
      <c r="AD58" s="446">
        <v>0</v>
      </c>
      <c r="AE58" s="446">
        <v>0</v>
      </c>
      <c r="AF58" s="447">
        <f t="shared" si="7"/>
        <v>3144.2973819038489</v>
      </c>
      <c r="AG58" s="452">
        <f t="shared" si="8"/>
        <v>366.32515031912311</v>
      </c>
      <c r="AH58" s="453">
        <v>0</v>
      </c>
      <c r="AI58" s="104">
        <f t="shared" si="9"/>
        <v>3.4166489001241018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11.420210216174173</v>
      </c>
      <c r="R59" s="1309">
        <v>0</v>
      </c>
      <c r="S59" s="1309">
        <f>(I59+1-$J$15)*$O$2+D59*$O$3</f>
        <v>185.65306122448979</v>
      </c>
      <c r="T59" s="1309">
        <v>0</v>
      </c>
      <c r="U59" s="450">
        <v>0</v>
      </c>
      <c r="V59" s="450">
        <f t="shared" si="4"/>
        <v>1</v>
      </c>
      <c r="W59" s="450">
        <v>0</v>
      </c>
      <c r="X59" s="451">
        <f t="shared" si="5"/>
        <v>1</v>
      </c>
      <c r="Y59" s="446">
        <f t="shared" si="6"/>
        <v>3250.8138166104554</v>
      </c>
      <c r="Z59" s="106">
        <v>0</v>
      </c>
      <c r="AA59" s="446">
        <f>SUMPRODUCT($F$30:$F$32,$M$16:$M$18)*MIN(Q59/O59,1)*X59</f>
        <v>1193.2170711386086</v>
      </c>
      <c r="AB59" s="446">
        <v>0</v>
      </c>
      <c r="AC59" s="446">
        <v>0</v>
      </c>
      <c r="AD59" s="446">
        <v>0</v>
      </c>
      <c r="AE59" s="446">
        <v>0</v>
      </c>
      <c r="AF59" s="447">
        <f t="shared" si="7"/>
        <v>4444.0308877490643</v>
      </c>
      <c r="AG59" s="452">
        <f t="shared" si="8"/>
        <v>389.13739796620285</v>
      </c>
      <c r="AH59" s="453">
        <v>0</v>
      </c>
      <c r="AI59" s="104">
        <f t="shared" si="9"/>
        <v>2.5797897838258272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14.257069332472451</v>
      </c>
      <c r="R60" s="1309">
        <v>0</v>
      </c>
      <c r="S60" s="1309">
        <f>(I60+1-$J$15)*$O$2+D60*$O$3</f>
        <v>225.81632653061223</v>
      </c>
      <c r="T60" s="1309">
        <v>0</v>
      </c>
      <c r="U60" s="450">
        <v>0</v>
      </c>
      <c r="V60" s="450">
        <f t="shared" si="4"/>
        <v>1</v>
      </c>
      <c r="W60" s="450">
        <v>0</v>
      </c>
      <c r="X60" s="451">
        <f t="shared" si="5"/>
        <v>1</v>
      </c>
      <c r="Y60" s="446">
        <f t="shared" si="6"/>
        <v>4206.9355273782367</v>
      </c>
      <c r="Z60" s="446">
        <v>0</v>
      </c>
      <c r="AA60" s="446">
        <f>SUMPRODUCT($F$31:$F$33,$N$16:$N$18)*MIN(Q60/O60,1)*X60</f>
        <v>1568.034316495324</v>
      </c>
      <c r="AB60" s="446">
        <v>0</v>
      </c>
      <c r="AC60" s="446">
        <v>0</v>
      </c>
      <c r="AD60" s="446">
        <v>0</v>
      </c>
      <c r="AE60" s="446">
        <v>0</v>
      </c>
      <c r="AF60" s="447">
        <f t="shared" si="7"/>
        <v>5774.9698438735604</v>
      </c>
      <c r="AG60" s="452">
        <f t="shared" si="8"/>
        <v>405.06009399282829</v>
      </c>
      <c r="AH60" s="453">
        <v>0</v>
      </c>
      <c r="AI60" s="104">
        <f t="shared" si="9"/>
        <v>1.7429306675275491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10.817874243972547</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2677.1407901497864</v>
      </c>
      <c r="Z61" s="446">
        <f t="shared" ref="Z61:Z92" si="14">Q61*U61*$O$6*(sndfact-1)*$K$4</f>
        <v>1921.0279994616171</v>
      </c>
      <c r="AA61" s="446">
        <f>SUMPRODUCT($F$29:$F$31,$L$16:$L$18)*MIN(Q61/O61,1)*X61</f>
        <v>1070.7849331222455</v>
      </c>
      <c r="AB61" s="446">
        <v>0</v>
      </c>
      <c r="AC61" s="446">
        <v>0</v>
      </c>
      <c r="AD61" s="446">
        <v>0</v>
      </c>
      <c r="AE61" s="446">
        <v>0</v>
      </c>
      <c r="AF61" s="447">
        <f t="shared" si="7"/>
        <v>5668.9537227336496</v>
      </c>
      <c r="AG61" s="452">
        <f t="shared" si="8"/>
        <v>524.0358313364801</v>
      </c>
      <c r="AH61" s="453">
        <f t="shared" ref="AH61:AH92" si="15">N61-$Q61</f>
        <v>6.5821257560274518</v>
      </c>
      <c r="AI61" s="104">
        <f t="shared" si="9"/>
        <v>1.1821257560274532</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13.48809333204267</v>
      </c>
      <c r="R62" s="1309">
        <f>(K$15+1-$J$15)*$O$2+25</f>
        <v>105.32653061224489</v>
      </c>
      <c r="S62" s="1309">
        <f>(I62+1-$J$15)*$O$2+C62*$E$14+D62*$O$3</f>
        <v>216.71836734693878</v>
      </c>
      <c r="T62" s="1309">
        <v>0</v>
      </c>
      <c r="U62" s="450">
        <f t="shared" si="13"/>
        <v>1</v>
      </c>
      <c r="V62" s="450">
        <f t="shared" si="4"/>
        <v>0.88967355908581114</v>
      </c>
      <c r="W62" s="450">
        <v>0</v>
      </c>
      <c r="X62" s="451">
        <f t="shared" si="5"/>
        <v>1</v>
      </c>
      <c r="Y62" s="446">
        <f t="shared" si="6"/>
        <v>3633.2625009175676</v>
      </c>
      <c r="Z62" s="446">
        <f t="shared" si="14"/>
        <v>2395.2030099298372</v>
      </c>
      <c r="AA62" s="446">
        <f>SUMPRODUCT($F$29:$F$31,$L$16:$L$18)*MIN(Q62/O62,1)*X62</f>
        <v>1187.7952088994127</v>
      </c>
      <c r="AB62" s="446">
        <v>0</v>
      </c>
      <c r="AC62" s="446">
        <v>0</v>
      </c>
      <c r="AD62" s="446">
        <v>0</v>
      </c>
      <c r="AE62" s="446">
        <v>0</v>
      </c>
      <c r="AF62" s="447">
        <f t="shared" si="7"/>
        <v>7216.2607197468178</v>
      </c>
      <c r="AG62" s="452">
        <f t="shared" si="8"/>
        <v>535.00969648569071</v>
      </c>
      <c r="AH62" s="453">
        <f t="shared" si="15"/>
        <v>8.2619066679573301</v>
      </c>
      <c r="AI62" s="104">
        <f t="shared" si="9"/>
        <v>-1.4880933320426699</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16.158312420112793</v>
      </c>
      <c r="R63" s="1309">
        <f>(L$15+1-$J$15)*$O$2+25</f>
        <v>145.48979591836735</v>
      </c>
      <c r="S63" s="1309">
        <f>(I63+1-$J$15)*$O$2+C63*$E$15+D63*$O$3</f>
        <v>251.88163265306122</v>
      </c>
      <c r="T63" s="1309">
        <v>0</v>
      </c>
      <c r="U63" s="450">
        <f t="shared" si="13"/>
        <v>1</v>
      </c>
      <c r="V63" s="450">
        <f t="shared" si="4"/>
        <v>0.74265181214488696</v>
      </c>
      <c r="W63" s="450">
        <v>0</v>
      </c>
      <c r="X63" s="451">
        <f t="shared" si="5"/>
        <v>1</v>
      </c>
      <c r="Y63" s="446">
        <f t="shared" si="6"/>
        <v>4589.3842116853484</v>
      </c>
      <c r="Z63" s="446">
        <f t="shared" si="14"/>
        <v>2869.3780203980573</v>
      </c>
      <c r="AA63" s="446">
        <f>SUMPRODUCT($F$29:$F$31,$L$16:$L$18)*MIN(Q63/O63,1)*X63</f>
        <v>1187.7952088994127</v>
      </c>
      <c r="AB63" s="446">
        <v>0</v>
      </c>
      <c r="AC63" s="446">
        <v>0</v>
      </c>
      <c r="AD63" s="446">
        <v>0</v>
      </c>
      <c r="AE63" s="446">
        <v>0</v>
      </c>
      <c r="AF63" s="447">
        <f t="shared" si="7"/>
        <v>8646.5574409828187</v>
      </c>
      <c r="AG63" s="452">
        <f t="shared" si="8"/>
        <v>535.11512936339557</v>
      </c>
      <c r="AH63" s="453">
        <f t="shared" si="15"/>
        <v>9.9416875798872049</v>
      </c>
      <c r="AI63" s="104">
        <f t="shared" si="9"/>
        <v>-4.158312420112793</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18.828531508182916</v>
      </c>
      <c r="R64" s="1309">
        <f>(M$15+1-$J$15)*$O$2+25</f>
        <v>185.65306122448979</v>
      </c>
      <c r="S64" s="1309">
        <f>(I64+1-$J$15)*$O$2+C64*$E$16+D64*$O$3</f>
        <v>287.04489795918369</v>
      </c>
      <c r="T64" s="1309">
        <v>0</v>
      </c>
      <c r="U64" s="450">
        <f t="shared" si="13"/>
        <v>1</v>
      </c>
      <c r="V64" s="450">
        <f t="shared" si="4"/>
        <v>0.63733063806833667</v>
      </c>
      <c r="W64" s="450">
        <v>0</v>
      </c>
      <c r="X64" s="451">
        <f t="shared" si="5"/>
        <v>1</v>
      </c>
      <c r="Y64" s="446">
        <f t="shared" si="6"/>
        <v>5545.5059224531296</v>
      </c>
      <c r="Z64" s="446">
        <f t="shared" si="14"/>
        <v>3343.5530308662774</v>
      </c>
      <c r="AA64" s="446">
        <f>SUMPRODUCT($F$29:$F$31,$L$16:$L$18)*MIN(Q64/O64,1)*X64</f>
        <v>1187.7952088994127</v>
      </c>
      <c r="AB64" s="446">
        <v>0</v>
      </c>
      <c r="AC64" s="446">
        <v>0</v>
      </c>
      <c r="AD64" s="446">
        <v>0</v>
      </c>
      <c r="AE64" s="446">
        <v>0</v>
      </c>
      <c r="AF64" s="447">
        <f t="shared" si="7"/>
        <v>10076.85416221882</v>
      </c>
      <c r="AG64" s="452">
        <f t="shared" si="8"/>
        <v>535.19065774404123</v>
      </c>
      <c r="AH64" s="453">
        <f t="shared" si="15"/>
        <v>11.621468491817083</v>
      </c>
      <c r="AI64" s="104">
        <f t="shared" si="9"/>
        <v>-6.8285315081829161</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21.498750596253046</v>
      </c>
      <c r="R65" s="1309">
        <f>(N$15+1-$J$15)*$O$2+25</f>
        <v>225.81632653061223</v>
      </c>
      <c r="S65" s="1309">
        <f>(I65+1-$J$15)*$O$2+C65*$E$17+D65*$O$3</f>
        <v>322.2081632653061</v>
      </c>
      <c r="T65" s="1309">
        <v>0</v>
      </c>
      <c r="U65" s="450">
        <f t="shared" si="13"/>
        <v>1</v>
      </c>
      <c r="V65" s="450">
        <f t="shared" si="4"/>
        <v>0.55817197126289952</v>
      </c>
      <c r="W65" s="450">
        <v>0</v>
      </c>
      <c r="X65" s="451">
        <f t="shared" si="5"/>
        <v>1</v>
      </c>
      <c r="Y65" s="446">
        <f t="shared" si="6"/>
        <v>6501.6276332209109</v>
      </c>
      <c r="Z65" s="446">
        <f t="shared" si="14"/>
        <v>3817.7280413344993</v>
      </c>
      <c r="AA65" s="446">
        <f>SUMPRODUCT($F$29:$F$31,$L$16:$L$18)*MIN(Q65/O65,1)*X65</f>
        <v>1187.7952088994127</v>
      </c>
      <c r="AB65" s="446">
        <v>0</v>
      </c>
      <c r="AC65" s="446">
        <v>0</v>
      </c>
      <c r="AD65" s="446">
        <v>0</v>
      </c>
      <c r="AE65" s="446">
        <v>0</v>
      </c>
      <c r="AF65" s="447">
        <f t="shared" si="7"/>
        <v>11507.150883454824</v>
      </c>
      <c r="AG65" s="452">
        <f t="shared" si="8"/>
        <v>535.24742435313294</v>
      </c>
      <c r="AH65" s="453">
        <f t="shared" si="15"/>
        <v>13.301249403746951</v>
      </c>
      <c r="AI65" s="104">
        <f t="shared" si="9"/>
        <v>-9.4987505962530463</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13.48809333204267</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3633.2625009175676</v>
      </c>
      <c r="Z66" s="446">
        <f t="shared" si="14"/>
        <v>2395.2030099298372</v>
      </c>
      <c r="AA66" s="446">
        <f>SUMPRODUCT($F$30:$F$32,$M$16:$M$18)*MIN(Q66/O66,1)*X66</f>
        <v>1409.2755664086012</v>
      </c>
      <c r="AB66" s="446">
        <v>0</v>
      </c>
      <c r="AC66" s="446">
        <v>0</v>
      </c>
      <c r="AD66" s="446">
        <v>0</v>
      </c>
      <c r="AE66" s="446">
        <v>0</v>
      </c>
      <c r="AF66" s="447">
        <f t="shared" si="7"/>
        <v>7437.741077256007</v>
      </c>
      <c r="AG66" s="452">
        <f t="shared" si="8"/>
        <v>551.43013131342389</v>
      </c>
      <c r="AH66" s="453">
        <f t="shared" si="15"/>
        <v>3.9119066679573287</v>
      </c>
      <c r="AI66" s="104">
        <f t="shared" si="9"/>
        <v>0.51190666795733009</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16.158312420112793</v>
      </c>
      <c r="R67" s="1309">
        <f>(K$15+1-$J$15)*$O$2+C67*25</f>
        <v>105.32653061224489</v>
      </c>
      <c r="S67" s="1309">
        <f>(I67+1-$J$15)*$O$2+C67*$E$14+D67*$O$3</f>
        <v>256.88163265306122</v>
      </c>
      <c r="T67" s="1309">
        <v>0</v>
      </c>
      <c r="U67" s="450">
        <f t="shared" si="13"/>
        <v>1</v>
      </c>
      <c r="V67" s="450">
        <f t="shared" si="4"/>
        <v>0.86642711416903484</v>
      </c>
      <c r="W67" s="450">
        <v>0</v>
      </c>
      <c r="X67" s="451">
        <f t="shared" si="5"/>
        <v>1</v>
      </c>
      <c r="Y67" s="446">
        <f t="shared" si="6"/>
        <v>4589.3842116853484</v>
      </c>
      <c r="Z67" s="446">
        <f t="shared" si="14"/>
        <v>2869.3780203980573</v>
      </c>
      <c r="AA67" s="446">
        <f>SUMPRODUCT($F$30:$F$32,$M$16:$M$18)*MIN(Q67/O67,1)*X67</f>
        <v>1462.7610770493147</v>
      </c>
      <c r="AB67" s="446">
        <v>0</v>
      </c>
      <c r="AC67" s="446">
        <v>0</v>
      </c>
      <c r="AD67" s="446">
        <v>0</v>
      </c>
      <c r="AE67" s="446">
        <v>0</v>
      </c>
      <c r="AF67" s="447">
        <f t="shared" si="7"/>
        <v>8921.5233091327209</v>
      </c>
      <c r="AG67" s="452">
        <f t="shared" si="8"/>
        <v>552.13212105168861</v>
      </c>
      <c r="AH67" s="453">
        <f t="shared" si="15"/>
        <v>5.591687579887207</v>
      </c>
      <c r="AI67" s="104">
        <f t="shared" si="9"/>
        <v>-2.158312420112793</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18.828531508182916</v>
      </c>
      <c r="R68" s="1309">
        <f>(L$15+1-$J$15)*$O$2+C68*25</f>
        <v>145.48979591836735</v>
      </c>
      <c r="S68" s="1309">
        <f>(I68+1-$J$15)*$O$2+C68*$E$15+D68*$O$3</f>
        <v>292.04489795918369</v>
      </c>
      <c r="T68" s="1309">
        <v>0</v>
      </c>
      <c r="U68" s="450">
        <f t="shared" si="13"/>
        <v>1</v>
      </c>
      <c r="V68" s="450">
        <f t="shared" si="4"/>
        <v>0.74355241107972614</v>
      </c>
      <c r="W68" s="450">
        <v>0</v>
      </c>
      <c r="X68" s="451">
        <f t="shared" si="5"/>
        <v>1</v>
      </c>
      <c r="Y68" s="446">
        <f t="shared" si="6"/>
        <v>5545.5059224531296</v>
      </c>
      <c r="Z68" s="446">
        <f t="shared" si="14"/>
        <v>3343.5530308662774</v>
      </c>
      <c r="AA68" s="446">
        <f>SUMPRODUCT($F$30:$F$32,$M$16:$M$18)*MIN(Q68/O68,1)*X68</f>
        <v>1462.7610770493147</v>
      </c>
      <c r="AB68" s="446">
        <v>0</v>
      </c>
      <c r="AC68" s="446">
        <v>0</v>
      </c>
      <c r="AD68" s="446">
        <v>0</v>
      </c>
      <c r="AE68" s="446">
        <v>0</v>
      </c>
      <c r="AF68" s="447">
        <f t="shared" si="7"/>
        <v>10351.820030368723</v>
      </c>
      <c r="AG68" s="452">
        <f t="shared" si="8"/>
        <v>549.79433876029054</v>
      </c>
      <c r="AH68" s="453">
        <f t="shared" si="15"/>
        <v>7.2714684918170818</v>
      </c>
      <c r="AI68" s="104">
        <f t="shared" si="9"/>
        <v>-4.8285315081829161</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21.498750596253043</v>
      </c>
      <c r="R69" s="1309">
        <f>(M$15+1-$J$15)*$O$2+C69*25</f>
        <v>185.65306122448979</v>
      </c>
      <c r="S69" s="1309">
        <f>(I69+1-$J$15)*$O$2+C69*$E$16+D69*$O$3</f>
        <v>327.2081632653061</v>
      </c>
      <c r="T69" s="1309">
        <v>0</v>
      </c>
      <c r="U69" s="450">
        <f t="shared" si="13"/>
        <v>1</v>
      </c>
      <c r="V69" s="450">
        <f t="shared" si="4"/>
        <v>0.65120063314004961</v>
      </c>
      <c r="W69" s="450">
        <v>0</v>
      </c>
      <c r="X69" s="451">
        <f t="shared" si="5"/>
        <v>1</v>
      </c>
      <c r="Y69" s="446">
        <f t="shared" si="6"/>
        <v>6501.6276332209109</v>
      </c>
      <c r="Z69" s="446">
        <f t="shared" si="14"/>
        <v>3817.7280413344984</v>
      </c>
      <c r="AA69" s="446">
        <f>SUMPRODUCT($F$30:$F$32,$M$16:$M$18)*MIN(Q69/O69,1)*X69</f>
        <v>1462.7610770493147</v>
      </c>
      <c r="AB69" s="446">
        <v>0</v>
      </c>
      <c r="AC69" s="446">
        <v>0</v>
      </c>
      <c r="AD69" s="446">
        <v>0</v>
      </c>
      <c r="AE69" s="446">
        <v>0</v>
      </c>
      <c r="AF69" s="447">
        <f t="shared" si="7"/>
        <v>11782.116751604724</v>
      </c>
      <c r="AG69" s="452">
        <f t="shared" si="8"/>
        <v>548.03727774107006</v>
      </c>
      <c r="AH69" s="453">
        <f t="shared" si="15"/>
        <v>8.9512494037469565</v>
      </c>
      <c r="AI69" s="104">
        <f t="shared" si="9"/>
        <v>-7.4987505962530427</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24.168969684323173</v>
      </c>
      <c r="R70" s="1309">
        <f>(N$15+1-$J$15)*$O$2+C70*25</f>
        <v>225.81632653061223</v>
      </c>
      <c r="S70" s="1309">
        <f>(I70+1-$J$15)*$O$2+C70*$E$17+D70*$O$3</f>
        <v>362.37142857142857</v>
      </c>
      <c r="T70" s="1309">
        <v>0</v>
      </c>
      <c r="U70" s="450">
        <f t="shared" si="13"/>
        <v>1</v>
      </c>
      <c r="V70" s="450">
        <f t="shared" si="4"/>
        <v>0.57925514338664108</v>
      </c>
      <c r="W70" s="450">
        <v>0</v>
      </c>
      <c r="X70" s="451">
        <f t="shared" si="5"/>
        <v>1</v>
      </c>
      <c r="Y70" s="446">
        <f t="shared" si="6"/>
        <v>7457.7493439886921</v>
      </c>
      <c r="Z70" s="446">
        <f t="shared" si="14"/>
        <v>4291.9030518027203</v>
      </c>
      <c r="AA70" s="446">
        <f>SUMPRODUCT($F$30:$F$32,$M$16:$M$18)*MIN(Q70/O70,1)*X70</f>
        <v>1462.7610770493147</v>
      </c>
      <c r="AB70" s="446">
        <v>0</v>
      </c>
      <c r="AC70" s="446">
        <v>0</v>
      </c>
      <c r="AD70" s="446">
        <v>0</v>
      </c>
      <c r="AE70" s="446">
        <v>0</v>
      </c>
      <c r="AF70" s="447">
        <f t="shared" si="7"/>
        <v>13212.413472840726</v>
      </c>
      <c r="AG70" s="452">
        <f t="shared" si="8"/>
        <v>546.66846147813874</v>
      </c>
      <c r="AH70" s="453">
        <f t="shared" si="15"/>
        <v>10.631030315676824</v>
      </c>
      <c r="AI70" s="104">
        <f t="shared" si="9"/>
        <v>-10.168969684323173</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16.158312420112797</v>
      </c>
      <c r="R71" s="1309">
        <f>(J$15+1-$J$15)*$O$2+C71*25</f>
        <v>65.16326530612244</v>
      </c>
      <c r="S71" s="1309">
        <f>(I71+1-$J$15)*$O$2+C71*$E$13+D71*$O$3</f>
        <v>261.88163265306122</v>
      </c>
      <c r="T71" s="1309">
        <v>0</v>
      </c>
      <c r="U71" s="450">
        <f t="shared" si="13"/>
        <v>1</v>
      </c>
      <c r="V71" s="450">
        <f t="shared" si="4"/>
        <v>0.99020241619318239</v>
      </c>
      <c r="W71" s="450">
        <v>0</v>
      </c>
      <c r="X71" s="451">
        <f t="shared" si="5"/>
        <v>1</v>
      </c>
      <c r="Y71" s="446">
        <f t="shared" si="6"/>
        <v>4589.3842116853493</v>
      </c>
      <c r="Z71" s="446">
        <f t="shared" si="14"/>
        <v>2869.3780203980577</v>
      </c>
      <c r="AA71" s="446">
        <f>SUMPRODUCT($F$31:$F$33,$N$16:$N$18)*MIN(Q71/O71,1)*X71</f>
        <v>1759.726945199217</v>
      </c>
      <c r="AB71" s="446">
        <v>0</v>
      </c>
      <c r="AC71" s="446">
        <v>0</v>
      </c>
      <c r="AD71" s="446">
        <v>0</v>
      </c>
      <c r="AE71" s="446">
        <v>0</v>
      </c>
      <c r="AF71" s="447">
        <f t="shared" si="7"/>
        <v>9218.4891772826231</v>
      </c>
      <c r="AG71" s="452">
        <f t="shared" si="8"/>
        <v>570.51064106224726</v>
      </c>
      <c r="AH71" s="453">
        <f t="shared" si="15"/>
        <v>1.241687579887202</v>
      </c>
      <c r="AI71" s="104">
        <f t="shared" si="9"/>
        <v>-0.15831242011279656</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18.828531508182923</v>
      </c>
      <c r="R72" s="1309">
        <f>(K$15+1-$J$15)*$O$2+C72*25</f>
        <v>105.32653061224489</v>
      </c>
      <c r="S72" s="1309">
        <f>(I72+1-$J$15)*$O$2+C72*$E$14+D72*$O$3</f>
        <v>297.04489795918369</v>
      </c>
      <c r="T72" s="1309">
        <v>0</v>
      </c>
      <c r="U72" s="450">
        <f t="shared" si="13"/>
        <v>1</v>
      </c>
      <c r="V72" s="450">
        <f t="shared" si="4"/>
        <v>0.84977418409111527</v>
      </c>
      <c r="W72" s="450">
        <v>0</v>
      </c>
      <c r="X72" s="451">
        <f t="shared" si="5"/>
        <v>1</v>
      </c>
      <c r="Y72" s="446">
        <f t="shared" si="6"/>
        <v>5545.5059224531306</v>
      </c>
      <c r="Z72" s="446">
        <f t="shared" si="14"/>
        <v>3343.5530308662787</v>
      </c>
      <c r="AA72" s="446">
        <f>SUMPRODUCT($F$31:$F$33,$N$16:$N$18)*MIN(Q72/O72,1)*X72</f>
        <v>1759.726945199217</v>
      </c>
      <c r="AB72" s="446">
        <v>0</v>
      </c>
      <c r="AC72" s="446">
        <v>0</v>
      </c>
      <c r="AD72" s="446">
        <v>0</v>
      </c>
      <c r="AE72" s="446">
        <v>0</v>
      </c>
      <c r="AF72" s="447">
        <f t="shared" si="7"/>
        <v>10648.785898518625</v>
      </c>
      <c r="AG72" s="452">
        <f t="shared" si="8"/>
        <v>565.56645927966485</v>
      </c>
      <c r="AH72" s="453">
        <f t="shared" si="15"/>
        <v>2.9214684918170768</v>
      </c>
      <c r="AI72" s="104">
        <f t="shared" si="9"/>
        <v>-2.8285315081829232</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21.498750596253046</v>
      </c>
      <c r="R73" s="1309">
        <f>(L$15+1-$J$15)*$O$2+C73*25</f>
        <v>145.48979591836735</v>
      </c>
      <c r="S73" s="1309">
        <f>(I73+1-$J$15)*$O$2+C73*$E$15+D73*$O$3</f>
        <v>332.2081632653061</v>
      </c>
      <c r="T73" s="1309">
        <v>0</v>
      </c>
      <c r="U73" s="450">
        <f t="shared" si="13"/>
        <v>1</v>
      </c>
      <c r="V73" s="450">
        <f t="shared" si="4"/>
        <v>0.74422929501719937</v>
      </c>
      <c r="W73" s="450">
        <v>0</v>
      </c>
      <c r="X73" s="451">
        <f t="shared" si="5"/>
        <v>1</v>
      </c>
      <c r="Y73" s="446">
        <f t="shared" si="6"/>
        <v>6501.6276332209109</v>
      </c>
      <c r="Z73" s="446">
        <f t="shared" si="14"/>
        <v>3817.7280413344993</v>
      </c>
      <c r="AA73" s="446">
        <f>SUMPRODUCT($F$31:$F$33,$N$16:$N$18)*MIN(Q73/O73,1)*X73</f>
        <v>1759.726945199217</v>
      </c>
      <c r="AB73" s="446">
        <v>0</v>
      </c>
      <c r="AC73" s="446">
        <v>0</v>
      </c>
      <c r="AD73" s="446">
        <v>0</v>
      </c>
      <c r="AE73" s="446">
        <v>0</v>
      </c>
      <c r="AF73" s="447">
        <f t="shared" si="7"/>
        <v>12079.082619754627</v>
      </c>
      <c r="AG73" s="452">
        <f t="shared" si="8"/>
        <v>561.85044640965577</v>
      </c>
      <c r="AH73" s="453">
        <f t="shared" si="15"/>
        <v>4.6012494037469516</v>
      </c>
      <c r="AI73" s="104">
        <f t="shared" si="9"/>
        <v>-5.4987505962530463</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24.168969684323173</v>
      </c>
      <c r="R74" s="1309">
        <f>(M$15+1-$J$15)*$O$2+C74*25</f>
        <v>185.65306122448979</v>
      </c>
      <c r="S74" s="1309">
        <f>(I74+1-$J$15)*$O$2+C74*$E$16+D74*$O$3</f>
        <v>367.37142857142857</v>
      </c>
      <c r="T74" s="1309">
        <v>0</v>
      </c>
      <c r="U74" s="450">
        <f t="shared" si="13"/>
        <v>1</v>
      </c>
      <c r="V74" s="450">
        <f t="shared" si="4"/>
        <v>0.66200587815616119</v>
      </c>
      <c r="W74" s="450">
        <v>0</v>
      </c>
      <c r="X74" s="451">
        <f t="shared" si="5"/>
        <v>1</v>
      </c>
      <c r="Y74" s="446">
        <f t="shared" si="6"/>
        <v>7457.7493439886921</v>
      </c>
      <c r="Z74" s="446">
        <f t="shared" si="14"/>
        <v>4291.9030518027203</v>
      </c>
      <c r="AA74" s="446">
        <f>SUMPRODUCT($F$31:$F$33,$N$16:$N$18)*MIN(Q74/O74,1)*X74</f>
        <v>1759.726945199217</v>
      </c>
      <c r="AB74" s="446">
        <v>0</v>
      </c>
      <c r="AC74" s="446">
        <v>0</v>
      </c>
      <c r="AD74" s="446">
        <v>0</v>
      </c>
      <c r="AE74" s="446">
        <v>0</v>
      </c>
      <c r="AF74" s="447">
        <f t="shared" si="7"/>
        <v>13509.379340990628</v>
      </c>
      <c r="AG74" s="452">
        <f t="shared" si="8"/>
        <v>558.95553337357524</v>
      </c>
      <c r="AH74" s="453">
        <f t="shared" si="15"/>
        <v>6.2810303156768263</v>
      </c>
      <c r="AI74" s="104">
        <f t="shared" si="9"/>
        <v>-8.1689696843231729</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26.839188772393292</v>
      </c>
      <c r="R75" s="1309">
        <f>(N$15+1-$J$15)*$O$2+C75*25</f>
        <v>225.81632653061223</v>
      </c>
      <c r="S75" s="1309">
        <f>(I75+1-$J$15)*$O$2+C75*$E$17+D75*$O$3</f>
        <v>402.53469387755104</v>
      </c>
      <c r="T75" s="1309">
        <v>0</v>
      </c>
      <c r="U75" s="450">
        <f t="shared" si="13"/>
        <v>1</v>
      </c>
      <c r="V75" s="450">
        <f t="shared" si="4"/>
        <v>0.59614320446441926</v>
      </c>
      <c r="W75" s="450">
        <v>0</v>
      </c>
      <c r="X75" s="451">
        <f t="shared" si="5"/>
        <v>1</v>
      </c>
      <c r="Y75" s="446">
        <f t="shared" si="6"/>
        <v>8413.8710547564733</v>
      </c>
      <c r="Z75" s="446">
        <f t="shared" si="14"/>
        <v>4766.078062270939</v>
      </c>
      <c r="AA75" s="446">
        <f>SUMPRODUCT($F$31:$F$33,$N$16:$N$18)*MIN(Q75/O75,1)*X75</f>
        <v>1759.726945199217</v>
      </c>
      <c r="AB75" s="446">
        <v>0</v>
      </c>
      <c r="AC75" s="446">
        <v>0</v>
      </c>
      <c r="AD75" s="446">
        <v>0</v>
      </c>
      <c r="AE75" s="446">
        <v>0</v>
      </c>
      <c r="AF75" s="447">
        <f t="shared" si="7"/>
        <v>14939.67606222663</v>
      </c>
      <c r="AG75" s="452">
        <f t="shared" si="8"/>
        <v>556.63664758725997</v>
      </c>
      <c r="AH75" s="453">
        <f t="shared" si="15"/>
        <v>7.9608112276067047</v>
      </c>
      <c r="AI75" s="104">
        <f t="shared" si="9"/>
        <v>-10.839188772393292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21.567249542099066</v>
      </c>
      <c r="R76" s="1309">
        <f>(J$15+1-$J$15)*$O$2+25</f>
        <v>65.16326530612244</v>
      </c>
      <c r="S76" s="1309">
        <f>(I76+1-$J$15)*$O$2+$E$13+$E$16+D76*$O$3</f>
        <v>323.11020408163262</v>
      </c>
      <c r="T76" s="1309">
        <v>0</v>
      </c>
      <c r="U76" s="450">
        <f t="shared" si="13"/>
        <v>1</v>
      </c>
      <c r="V76" s="450">
        <f t="shared" si="4"/>
        <v>0.55639918185098725</v>
      </c>
      <c r="W76" s="450">
        <v>0</v>
      </c>
      <c r="X76" s="451">
        <f t="shared" si="5"/>
        <v>1</v>
      </c>
      <c r="Y76" s="446">
        <f t="shared" si="6"/>
        <v>5927.9546067602414</v>
      </c>
      <c r="Z76" s="446">
        <f t="shared" si="14"/>
        <v>3829.8920201288661</v>
      </c>
      <c r="AA76" s="446">
        <f>SUMPRODUCT($F$29:$F$31,$L$16:$L$18)*MIN(Q76/O76,1)*X76</f>
        <v>1187.7952088994127</v>
      </c>
      <c r="AB76" s="446">
        <v>0</v>
      </c>
      <c r="AC76" s="446">
        <v>0</v>
      </c>
      <c r="AD76" s="446">
        <v>0</v>
      </c>
      <c r="AE76" s="446">
        <v>0</v>
      </c>
      <c r="AF76" s="447">
        <f t="shared" si="7"/>
        <v>10945.641835788521</v>
      </c>
      <c r="AG76" s="452">
        <f t="shared" si="8"/>
        <v>507.51218018888926</v>
      </c>
      <c r="AH76" s="453">
        <f t="shared" si="15"/>
        <v>26.282750457900928</v>
      </c>
      <c r="AI76" s="104">
        <f t="shared" si="9"/>
        <v>-9.5672495420990664</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24.23746863016919</v>
      </c>
      <c r="R77" s="1309">
        <f>(K$15+1-$J$15)*$O$2+25</f>
        <v>105.32653061224489</v>
      </c>
      <c r="S77" s="1309">
        <f>(I77+1-$J$15)*$O$2+$E$14+$E$16+D77*$O$3</f>
        <v>358.27346938775503</v>
      </c>
      <c r="T77" s="1309">
        <v>0</v>
      </c>
      <c r="U77" s="450">
        <f t="shared" si="13"/>
        <v>1</v>
      </c>
      <c r="V77" s="450">
        <f t="shared" si="4"/>
        <v>0.49510120809659131</v>
      </c>
      <c r="W77" s="450">
        <v>0</v>
      </c>
      <c r="X77" s="451">
        <f t="shared" si="5"/>
        <v>1</v>
      </c>
      <c r="Y77" s="446">
        <f t="shared" si="6"/>
        <v>6884.0763175280226</v>
      </c>
      <c r="Z77" s="446">
        <f t="shared" si="14"/>
        <v>4304.0670305970852</v>
      </c>
      <c r="AA77" s="446">
        <f>SUMPRODUCT($F$29:$F$31,$L$16:$L$18)*MIN(Q77/O77,1)*X77</f>
        <v>1187.7952088994127</v>
      </c>
      <c r="AB77" s="446">
        <v>0</v>
      </c>
      <c r="AC77" s="446">
        <v>0</v>
      </c>
      <c r="AD77" s="446">
        <v>0</v>
      </c>
      <c r="AE77" s="446">
        <v>0</v>
      </c>
      <c r="AF77" s="447">
        <f t="shared" si="7"/>
        <v>12375.938557024521</v>
      </c>
      <c r="AG77" s="452">
        <f t="shared" si="8"/>
        <v>510.61184424266878</v>
      </c>
      <c r="AH77" s="453">
        <f t="shared" si="15"/>
        <v>27.962531369830813</v>
      </c>
      <c r="AI77" s="104">
        <f t="shared" si="9"/>
        <v>-12.23746863016919</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24.23746863016919</v>
      </c>
      <c r="R78" s="1309">
        <f>(J$15+1-$J$15)*$O$2+25</f>
        <v>65.16326530612244</v>
      </c>
      <c r="S78" s="1309">
        <f>(I78+1-$J$15)*$O$2+$E$13+$E$16+D78*$O$3</f>
        <v>363.27346938775503</v>
      </c>
      <c r="T78" s="1309">
        <v>0</v>
      </c>
      <c r="U78" s="450">
        <f t="shared" si="13"/>
        <v>1</v>
      </c>
      <c r="V78" s="450">
        <f t="shared" si="4"/>
        <v>0.57761807611268989</v>
      </c>
      <c r="W78" s="450">
        <v>0</v>
      </c>
      <c r="X78" s="451">
        <f t="shared" si="5"/>
        <v>1</v>
      </c>
      <c r="Y78" s="446">
        <f t="shared" si="6"/>
        <v>6884.0763175280226</v>
      </c>
      <c r="Z78" s="446">
        <f t="shared" si="14"/>
        <v>4304.0670305970852</v>
      </c>
      <c r="AA78" s="446">
        <f>SUMPRODUCT($F$30:$F$32,$M$16:$M$18)*MIN(Q78/O78,1)*X78</f>
        <v>1462.7610770493147</v>
      </c>
      <c r="AB78" s="446">
        <v>0</v>
      </c>
      <c r="AC78" s="446">
        <v>0</v>
      </c>
      <c r="AD78" s="446">
        <v>0</v>
      </c>
      <c r="AE78" s="446">
        <v>0</v>
      </c>
      <c r="AF78" s="447">
        <f t="shared" si="7"/>
        <v>12650.904425174424</v>
      </c>
      <c r="AG78" s="452">
        <f t="shared" si="8"/>
        <v>521.95650536819755</v>
      </c>
      <c r="AH78" s="453">
        <f t="shared" si="15"/>
        <v>23.612531369830805</v>
      </c>
      <c r="AI78" s="104">
        <f t="shared" si="9"/>
        <v>-10.23746863016919</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26.907687718239313</v>
      </c>
      <c r="R79" s="1309">
        <f>(K$15+1-$J$15)*$O$2+25</f>
        <v>105.32653061224489</v>
      </c>
      <c r="S79" s="1309">
        <f>(I79+1-$J$15)*$O$2+$E$14+$E$16+D79*$O$3</f>
        <v>398.4367346938775</v>
      </c>
      <c r="T79" s="1309">
        <v>0</v>
      </c>
      <c r="U79" s="450">
        <f t="shared" si="13"/>
        <v>1</v>
      </c>
      <c r="V79" s="450">
        <f t="shared" si="4"/>
        <v>0.52029740149355652</v>
      </c>
      <c r="W79" s="450">
        <v>0</v>
      </c>
      <c r="X79" s="451">
        <f t="shared" si="5"/>
        <v>1</v>
      </c>
      <c r="Y79" s="446">
        <f t="shared" si="6"/>
        <v>7840.1980282958039</v>
      </c>
      <c r="Z79" s="446">
        <f t="shared" si="14"/>
        <v>4778.2420410653067</v>
      </c>
      <c r="AA79" s="446">
        <f>SUMPRODUCT($F$30:$F$32,$M$16:$M$18)*MIN(Q79/O79,1)*X79</f>
        <v>1462.7610770493147</v>
      </c>
      <c r="AB79" s="446">
        <v>0</v>
      </c>
      <c r="AC79" s="446">
        <v>0</v>
      </c>
      <c r="AD79" s="446">
        <v>0</v>
      </c>
      <c r="AE79" s="446">
        <v>0</v>
      </c>
      <c r="AF79" s="447">
        <f t="shared" si="7"/>
        <v>14081.201146410425</v>
      </c>
      <c r="AG79" s="452">
        <f t="shared" si="8"/>
        <v>523.31516902753094</v>
      </c>
      <c r="AH79" s="453">
        <f t="shared" si="15"/>
        <v>25.29231228176069</v>
      </c>
      <c r="AI79" s="104">
        <f t="shared" si="9"/>
        <v>-12.907687718239313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26.907687718239313</v>
      </c>
      <c r="R80" s="1309">
        <f>(J$15+1-$J$15)*$O$2+25</f>
        <v>65.16326530612244</v>
      </c>
      <c r="S80" s="1309">
        <f>(I80+1-$J$15)*$O$2+$E$13+$E$16+D80*$O$3</f>
        <v>403.4367346938775</v>
      </c>
      <c r="T80" s="1309">
        <v>0</v>
      </c>
      <c r="U80" s="450">
        <f t="shared" si="13"/>
        <v>1</v>
      </c>
      <c r="V80" s="450">
        <f t="shared" si="4"/>
        <v>0.5946256017069218</v>
      </c>
      <c r="W80" s="450">
        <v>0</v>
      </c>
      <c r="X80" s="451">
        <f t="shared" si="5"/>
        <v>1</v>
      </c>
      <c r="Y80" s="446">
        <f t="shared" si="6"/>
        <v>7840.1980282958039</v>
      </c>
      <c r="Z80" s="446">
        <f t="shared" si="14"/>
        <v>4778.2420410653067</v>
      </c>
      <c r="AA80" s="446">
        <f>SUMPRODUCT($F$31:$F$33,$N$16:$N$18)*MIN(Q80/O80,1)*X80</f>
        <v>1759.726945199217</v>
      </c>
      <c r="AB80" s="446">
        <v>0</v>
      </c>
      <c r="AC80" s="446">
        <v>0</v>
      </c>
      <c r="AD80" s="446">
        <v>0</v>
      </c>
      <c r="AE80" s="446">
        <v>0</v>
      </c>
      <c r="AF80" s="447">
        <f t="shared" si="7"/>
        <v>14378.167014560328</v>
      </c>
      <c r="AG80" s="452">
        <f t="shared" si="8"/>
        <v>534.3516382797219</v>
      </c>
      <c r="AH80" s="453">
        <f t="shared" si="15"/>
        <v>20.942312281760682</v>
      </c>
      <c r="AI80" s="104">
        <f t="shared" si="9"/>
        <v>-10.907687718239313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29.577906806309439</v>
      </c>
      <c r="R81" s="1309">
        <f>(K$15+1-$J$15)*$O$2+25</f>
        <v>105.32653061224489</v>
      </c>
      <c r="S81" s="1309">
        <f>(I81+1-$J$15)*$O$2+$E$14+$E$16+D81*$O$3</f>
        <v>438.59999999999997</v>
      </c>
      <c r="T81" s="1309">
        <v>0</v>
      </c>
      <c r="U81" s="450">
        <f t="shared" si="13"/>
        <v>1</v>
      </c>
      <c r="V81" s="450">
        <f t="shared" si="4"/>
        <v>0.54094429686237788</v>
      </c>
      <c r="W81" s="450">
        <v>0</v>
      </c>
      <c r="X81" s="451">
        <f t="shared" si="5"/>
        <v>1</v>
      </c>
      <c r="Y81" s="446">
        <f t="shared" si="6"/>
        <v>8796.3197390635851</v>
      </c>
      <c r="Z81" s="446">
        <f t="shared" si="14"/>
        <v>5252.4170515335281</v>
      </c>
      <c r="AA81" s="446">
        <f>SUMPRODUCT($F$31:$F$33,$N$16:$N$18)*MIN(Q81/O81,1)*X81</f>
        <v>1759.726945199217</v>
      </c>
      <c r="AB81" s="446">
        <v>0</v>
      </c>
      <c r="AC81" s="446">
        <v>0</v>
      </c>
      <c r="AD81" s="446">
        <v>0</v>
      </c>
      <c r="AE81" s="446">
        <v>0</v>
      </c>
      <c r="AF81" s="447">
        <f t="shared" si="7"/>
        <v>15808.463735796329</v>
      </c>
      <c r="AG81" s="452">
        <f t="shared" si="8"/>
        <v>534.46864375217149</v>
      </c>
      <c r="AH81" s="453">
        <f t="shared" si="15"/>
        <v>22.622093193690564</v>
      </c>
      <c r="AI81" s="104">
        <f t="shared" si="9"/>
        <v>-13.577906806309439</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24.237468630169197</v>
      </c>
      <c r="R82" s="1309">
        <f>(J$15+1-$J$15)*$O$2+25</f>
        <v>65.16326530612244</v>
      </c>
      <c r="S82" s="1309">
        <f>(I82+1-$J$15)*$O$2+$E$13+$E$17+D82*$O$3</f>
        <v>358.27346938775514</v>
      </c>
      <c r="T82" s="1309">
        <v>0</v>
      </c>
      <c r="U82" s="450">
        <f t="shared" si="13"/>
        <v>1</v>
      </c>
      <c r="V82" s="450">
        <f t="shared" si="4"/>
        <v>0.49510120809659119</v>
      </c>
      <c r="W82" s="450">
        <v>0</v>
      </c>
      <c r="X82" s="451">
        <f t="shared" si="5"/>
        <v>1</v>
      </c>
      <c r="Y82" s="446">
        <f t="shared" si="6"/>
        <v>6884.0763175280244</v>
      </c>
      <c r="Z82" s="446">
        <f t="shared" si="14"/>
        <v>4304.067030597088</v>
      </c>
      <c r="AA82" s="446">
        <f>SUMPRODUCT($F$29:$F$31,$L$16:$L$18)*MIN(Q82/O82,1)*X82</f>
        <v>1187.7952088994127</v>
      </c>
      <c r="AB82" s="446">
        <v>0</v>
      </c>
      <c r="AC82" s="446">
        <v>0</v>
      </c>
      <c r="AD82" s="446">
        <v>0</v>
      </c>
      <c r="AE82" s="446">
        <v>0</v>
      </c>
      <c r="AF82" s="447">
        <f>SUM(Y82:AE82)</f>
        <v>12375.938557024525</v>
      </c>
      <c r="AG82" s="452">
        <f t="shared" si="8"/>
        <v>510.61184424266878</v>
      </c>
      <c r="AH82" s="453">
        <f t="shared" si="15"/>
        <v>27.962531369830799</v>
      </c>
      <c r="AI82" s="104">
        <f t="shared" si="9"/>
        <v>-12.237468630169197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26.90768771823932</v>
      </c>
      <c r="R83" s="1309">
        <f>(K$15+1-$J$15)*$O$2+25</f>
        <v>105.32653061224489</v>
      </c>
      <c r="S83" s="1309">
        <f>(I83+1-$J$15)*$O$2+$E$14+$E$17+D83*$O$3</f>
        <v>393.43673469387755</v>
      </c>
      <c r="T83" s="1309">
        <v>0</v>
      </c>
      <c r="U83" s="450">
        <f t="shared" si="13"/>
        <v>1</v>
      </c>
      <c r="V83" s="450">
        <f t="shared" si="4"/>
        <v>0.44596920128019119</v>
      </c>
      <c r="W83" s="450">
        <v>0</v>
      </c>
      <c r="X83" s="451">
        <f t="shared" si="5"/>
        <v>1</v>
      </c>
      <c r="Y83" s="446">
        <f t="shared" si="6"/>
        <v>7840.1980282958057</v>
      </c>
      <c r="Z83" s="446">
        <f t="shared" si="14"/>
        <v>4778.2420410653076</v>
      </c>
      <c r="AA83" s="446">
        <f>SUMPRODUCT($F$29:$F$31,$L$16:$L$18)*MIN(Q83/O83,1)*X83</f>
        <v>1187.7952088994127</v>
      </c>
      <c r="AB83" s="446">
        <v>0</v>
      </c>
      <c r="AC83" s="446">
        <v>0</v>
      </c>
      <c r="AD83" s="446">
        <v>0</v>
      </c>
      <c r="AE83" s="446">
        <v>0</v>
      </c>
      <c r="AF83" s="447">
        <f>SUM(Y83:AE83)</f>
        <v>13806.235278260527</v>
      </c>
      <c r="AG83" s="452">
        <f t="shared" si="8"/>
        <v>513.09630997768716</v>
      </c>
      <c r="AH83" s="453">
        <f t="shared" si="15"/>
        <v>29.642312281760677</v>
      </c>
      <c r="AI83" s="104">
        <f t="shared" si="9"/>
        <v>-14.90768771823932</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29.577906806309443</v>
      </c>
      <c r="R84" s="1309">
        <f>(L$15+1-$J$15)*$O$2+25</f>
        <v>145.48979591836735</v>
      </c>
      <c r="S84" s="1309">
        <f>(I84+1-$J$15)*$O$2+$E$15+$E$17+D84*$O$3</f>
        <v>428.6</v>
      </c>
      <c r="T84" s="1309">
        <v>0</v>
      </c>
      <c r="U84" s="450">
        <f t="shared" si="13"/>
        <v>1</v>
      </c>
      <c r="V84" s="450">
        <f t="shared" si="4"/>
        <v>0.40570822264678336</v>
      </c>
      <c r="W84" s="450">
        <v>0</v>
      </c>
      <c r="X84" s="451">
        <f t="shared" si="5"/>
        <v>1</v>
      </c>
      <c r="Y84" s="446">
        <f t="shared" si="6"/>
        <v>8796.3197390635869</v>
      </c>
      <c r="Z84" s="446">
        <f t="shared" si="14"/>
        <v>5252.4170515335281</v>
      </c>
      <c r="AA84" s="446">
        <f>SUMPRODUCT($F$29:$F$31,$L$16:$L$18)*MIN(Q84/O84,1)*X84</f>
        <v>1187.7952088994127</v>
      </c>
      <c r="AB84" s="446">
        <v>0</v>
      </c>
      <c r="AC84" s="446">
        <v>0</v>
      </c>
      <c r="AD84" s="446">
        <v>0</v>
      </c>
      <c r="AE84" s="446">
        <v>0</v>
      </c>
      <c r="AF84" s="447">
        <f>SUM(Y84:AE84)</f>
        <v>15236.531999496528</v>
      </c>
      <c r="AG84" s="452">
        <f t="shared" si="8"/>
        <v>515.13219306804808</v>
      </c>
      <c r="AH84" s="453">
        <f t="shared" si="15"/>
        <v>31.322093193690549</v>
      </c>
      <c r="AI84" s="104">
        <f t="shared" si="9"/>
        <v>-17.577906806309443</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26.90768771823932</v>
      </c>
      <c r="R85" s="1309">
        <f>(J$15+1-$J$15)*$O$2+25</f>
        <v>65.16326530612244</v>
      </c>
      <c r="S85" s="1309">
        <f>(I85+1-$J$15)*$O$2+$E$13+$E$17+D85*$O$3</f>
        <v>398.43673469387755</v>
      </c>
      <c r="T85" s="1309">
        <v>0</v>
      </c>
      <c r="U85" s="450">
        <f t="shared" si="13"/>
        <v>1</v>
      </c>
      <c r="V85" s="450">
        <f t="shared" si="4"/>
        <v>0.52029740149355641</v>
      </c>
      <c r="W85" s="450">
        <v>0</v>
      </c>
      <c r="X85" s="451">
        <f t="shared" si="5"/>
        <v>1</v>
      </c>
      <c r="Y85" s="446">
        <f t="shared" si="6"/>
        <v>7840.1980282958057</v>
      </c>
      <c r="Z85" s="446">
        <f t="shared" si="14"/>
        <v>4778.2420410653076</v>
      </c>
      <c r="AA85" s="446">
        <f>SUMPRODUCT($F$30:$F$32,$M$16:$M$18)*MIN(Q85/O85,1)*X85</f>
        <v>1462.7610770493147</v>
      </c>
      <c r="AB85" s="446">
        <v>0</v>
      </c>
      <c r="AC85" s="446">
        <v>0</v>
      </c>
      <c r="AD85" s="446">
        <v>0</v>
      </c>
      <c r="AE85" s="446">
        <v>0</v>
      </c>
      <c r="AF85" s="447">
        <f t="shared" ref="AF85:AF148" si="20">SUM(Y85:AE85)</f>
        <v>14081.201146410429</v>
      </c>
      <c r="AG85" s="452">
        <f t="shared" si="8"/>
        <v>523.31516902753094</v>
      </c>
      <c r="AH85" s="453">
        <f t="shared" si="15"/>
        <v>25.292312281760676</v>
      </c>
      <c r="AI85" s="104">
        <f t="shared" si="9"/>
        <v>-12.90768771823932</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29.577906806309443</v>
      </c>
      <c r="R86" s="1309">
        <f>(K$15+1-$J$15)*$O$2+25</f>
        <v>105.32653061224489</v>
      </c>
      <c r="S86" s="1309">
        <f>(I86+1-$J$15)*$O$2+$E$14+$E$17+D86*$O$3</f>
        <v>433.6</v>
      </c>
      <c r="T86" s="1309">
        <v>0</v>
      </c>
      <c r="U86" s="450">
        <f t="shared" si="13"/>
        <v>1</v>
      </c>
      <c r="V86" s="450">
        <f t="shared" si="4"/>
        <v>0.47332625975458059</v>
      </c>
      <c r="W86" s="450">
        <v>0</v>
      </c>
      <c r="X86" s="451">
        <f t="shared" si="5"/>
        <v>1</v>
      </c>
      <c r="Y86" s="446">
        <f t="shared" si="6"/>
        <v>8796.3197390635869</v>
      </c>
      <c r="Z86" s="446">
        <f t="shared" si="14"/>
        <v>5252.4170515335281</v>
      </c>
      <c r="AA86" s="446">
        <f>SUMPRODUCT($F$30:$F$32,$M$16:$M$18)*MIN(Q86/O86,1)*X86</f>
        <v>1462.7610770493147</v>
      </c>
      <c r="AB86" s="446">
        <v>0</v>
      </c>
      <c r="AC86" s="446">
        <v>0</v>
      </c>
      <c r="AD86" s="446">
        <v>0</v>
      </c>
      <c r="AE86" s="446">
        <v>0</v>
      </c>
      <c r="AF86" s="447">
        <f t="shared" si="20"/>
        <v>15511.497867646431</v>
      </c>
      <c r="AG86" s="452">
        <f t="shared" si="8"/>
        <v>524.42851920601697</v>
      </c>
      <c r="AH86" s="453">
        <f t="shared" si="15"/>
        <v>26.972093193690554</v>
      </c>
      <c r="AI86" s="104">
        <f t="shared" si="9"/>
        <v>-15.577906806309443</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32.248125894379569</v>
      </c>
      <c r="R87" s="1309">
        <f>(L$15+1-$J$15)*$O$2+25</f>
        <v>145.48979591836735</v>
      </c>
      <c r="S87" s="1309">
        <f>(I87+1-$J$15)*$O$2+$E$15+$E$17+D87*$O$3</f>
        <v>468.76326530612243</v>
      </c>
      <c r="T87" s="1309">
        <v>0</v>
      </c>
      <c r="U87" s="450">
        <f t="shared" si="13"/>
        <v>1</v>
      </c>
      <c r="V87" s="450">
        <f t="shared" si="4"/>
        <v>0.43413375542669963</v>
      </c>
      <c r="W87" s="450">
        <v>0</v>
      </c>
      <c r="X87" s="451">
        <f t="shared" si="5"/>
        <v>1</v>
      </c>
      <c r="Y87" s="446">
        <f t="shared" si="6"/>
        <v>9752.4414498313672</v>
      </c>
      <c r="Z87" s="446">
        <f t="shared" si="14"/>
        <v>5726.5920620017478</v>
      </c>
      <c r="AA87" s="446">
        <f>SUMPRODUCT($F$30:$F$32,$M$16:$M$18)*MIN(Q87/O87,1)*X87</f>
        <v>1462.7610770493147</v>
      </c>
      <c r="AB87" s="446">
        <v>0</v>
      </c>
      <c r="AC87" s="446">
        <v>0</v>
      </c>
      <c r="AD87" s="446">
        <v>0</v>
      </c>
      <c r="AE87" s="446">
        <v>0</v>
      </c>
      <c r="AF87" s="447">
        <f t="shared" si="20"/>
        <v>16941.794588882429</v>
      </c>
      <c r="AG87" s="452">
        <f t="shared" si="8"/>
        <v>525.35749346709053</v>
      </c>
      <c r="AH87" s="453">
        <f t="shared" si="15"/>
        <v>28.651874105620422</v>
      </c>
      <c r="AI87" s="104">
        <f t="shared" si="9"/>
        <v>-18.248125894379569</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29.577906806309443</v>
      </c>
      <c r="R88" s="1309">
        <f>(J$15+1-$J$15)*$O$2+25</f>
        <v>65.16326530612244</v>
      </c>
      <c r="S88" s="1309">
        <f>(I88+1-$J$15)*$O$2+$E$13+$E$17+D88*$O$3</f>
        <v>438.6</v>
      </c>
      <c r="T88" s="1309">
        <v>0</v>
      </c>
      <c r="U88" s="450">
        <f t="shared" si="13"/>
        <v>1</v>
      </c>
      <c r="V88" s="450">
        <f t="shared" ref="V88:V119" si="22">IF(O88&gt;0,MIN(1,O88/Q88),0)</f>
        <v>0.54094429686237777</v>
      </c>
      <c r="W88" s="450">
        <v>0</v>
      </c>
      <c r="X88" s="451">
        <f t="shared" ref="X88:X119" si="23">MIN(1,H88*10/Q88)*fw+(1-(MIN(1,H88*10/Q88)))*1</f>
        <v>1</v>
      </c>
      <c r="Y88" s="446">
        <f t="shared" ref="Y88:Y119" si="24">(I88*avginst)*X88*$K$4</f>
        <v>8796.3197390635869</v>
      </c>
      <c r="Z88" s="446">
        <f t="shared" si="14"/>
        <v>5252.4170515335281</v>
      </c>
      <c r="AA88" s="446">
        <f>SUMPRODUCT($F$31:$F$33,$N$16:$N$18)*MIN(Q88/O88,1)*X88</f>
        <v>1759.726945199217</v>
      </c>
      <c r="AB88" s="446">
        <v>0</v>
      </c>
      <c r="AC88" s="446">
        <v>0</v>
      </c>
      <c r="AD88" s="446">
        <v>0</v>
      </c>
      <c r="AE88" s="446">
        <v>0</v>
      </c>
      <c r="AF88" s="447">
        <f t="shared" si="20"/>
        <v>15808.463735796333</v>
      </c>
      <c r="AG88" s="452">
        <f t="shared" ref="AG88:AG119" si="25">IF(AND(forceea,W88=0),0,IF(time=0, AF88/Q88, IF(time&lt;Q88, 0, AF88/Q88))*AQ88)</f>
        <v>534.4686437521716</v>
      </c>
      <c r="AH88" s="453">
        <f t="shared" si="15"/>
        <v>22.622093193690553</v>
      </c>
      <c r="AI88" s="104">
        <f t="shared" ref="AI88:AI119" si="26">O88-$Q88</f>
        <v>-13.577906806309443</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32.248125894379569</v>
      </c>
      <c r="R89" s="1309">
        <f>(K$15+1-$J$15)*$O$2+25</f>
        <v>105.32653061224489</v>
      </c>
      <c r="S89" s="1309">
        <f>(I89+1-$J$15)*$O$2+$E$14+$E$17+D89*$O$3</f>
        <v>473.76326530612243</v>
      </c>
      <c r="T89" s="1309">
        <v>0</v>
      </c>
      <c r="U89" s="450">
        <f t="shared" si="13"/>
        <v>1</v>
      </c>
      <c r="V89" s="450">
        <f t="shared" si="22"/>
        <v>0.49615286334479958</v>
      </c>
      <c r="W89" s="450">
        <v>0</v>
      </c>
      <c r="X89" s="451">
        <f t="shared" si="23"/>
        <v>1</v>
      </c>
      <c r="Y89" s="446">
        <f t="shared" si="24"/>
        <v>9752.4414498313672</v>
      </c>
      <c r="Z89" s="446">
        <f t="shared" si="14"/>
        <v>5726.5920620017478</v>
      </c>
      <c r="AA89" s="446">
        <f>SUMPRODUCT($F$31:$F$33,$N$16:$N$18)*MIN(Q89/O89,1)*X89</f>
        <v>1759.726945199217</v>
      </c>
      <c r="AB89" s="446">
        <v>0</v>
      </c>
      <c r="AC89" s="446">
        <v>0</v>
      </c>
      <c r="AD89" s="446">
        <v>0</v>
      </c>
      <c r="AE89" s="446">
        <v>0</v>
      </c>
      <c r="AF89" s="447">
        <f t="shared" si="20"/>
        <v>17238.760457032331</v>
      </c>
      <c r="AG89" s="452">
        <f t="shared" si="25"/>
        <v>534.56627257948105</v>
      </c>
      <c r="AH89" s="453">
        <f t="shared" si="15"/>
        <v>24.301874105620428</v>
      </c>
      <c r="AI89" s="104">
        <f t="shared" si="26"/>
        <v>-16.248125894379569</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34.918344982449696</v>
      </c>
      <c r="R90" s="1309">
        <f>(L$15+1-$J$15)*$O$2+25</f>
        <v>145.48979591836735</v>
      </c>
      <c r="S90" s="1309">
        <f>(I90+1-$J$15)*$O$2+$E$15+$E$17+D90*$O$3</f>
        <v>508.9265306122449</v>
      </c>
      <c r="T90" s="1309">
        <v>0</v>
      </c>
      <c r="U90" s="450">
        <f t="shared" si="13"/>
        <v>1</v>
      </c>
      <c r="V90" s="450">
        <f t="shared" si="22"/>
        <v>0.45821186565519523</v>
      </c>
      <c r="W90" s="450">
        <v>0</v>
      </c>
      <c r="X90" s="451">
        <f t="shared" si="23"/>
        <v>1</v>
      </c>
      <c r="Y90" s="446">
        <f t="shared" si="24"/>
        <v>10708.563160599149</v>
      </c>
      <c r="Z90" s="446">
        <f t="shared" si="14"/>
        <v>6200.7670724699692</v>
      </c>
      <c r="AA90" s="446">
        <f>SUMPRODUCT($F$31:$F$33,$N$16:$N$18)*MIN(Q90/O90,1)*X90</f>
        <v>1759.726945199217</v>
      </c>
      <c r="AB90" s="446">
        <v>0</v>
      </c>
      <c r="AC90" s="446">
        <v>0</v>
      </c>
      <c r="AD90" s="446">
        <v>0</v>
      </c>
      <c r="AE90" s="446">
        <v>0</v>
      </c>
      <c r="AF90" s="447">
        <f t="shared" si="20"/>
        <v>18669.057178268336</v>
      </c>
      <c r="AG90" s="452">
        <f t="shared" si="25"/>
        <v>534.64896997986557</v>
      </c>
      <c r="AH90" s="453">
        <f t="shared" si="15"/>
        <v>25.981655017550295</v>
      </c>
      <c r="AI90" s="104">
        <f t="shared" si="26"/>
        <v>-18.918344982449696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19.797223273713271</v>
      </c>
      <c r="R91" s="1309">
        <f>(J$15+1-$J$15)*$O$2+25</f>
        <v>65.16326530612244</v>
      </c>
      <c r="S91" s="1309">
        <f>(J$15+L$15+1-$J$15)*$O$2+$E$13+D91*$O$3</f>
        <v>181.55510204081631</v>
      </c>
      <c r="T91" s="1309">
        <v>0</v>
      </c>
      <c r="U91" s="450">
        <f t="shared" si="13"/>
        <v>0.87891113614421357</v>
      </c>
      <c r="V91" s="450">
        <f t="shared" si="22"/>
        <v>0.6061456111339405</v>
      </c>
      <c r="W91" s="450">
        <v>0</v>
      </c>
      <c r="X91" s="451">
        <f t="shared" si="23"/>
        <v>1</v>
      </c>
      <c r="Y91" s="446">
        <f t="shared" si="24"/>
        <v>4971.8328959924602</v>
      </c>
      <c r="Z91" s="446">
        <f t="shared" si="14"/>
        <v>3089.8757405371221</v>
      </c>
      <c r="AA91" s="446">
        <f>SUMPRODUCT($F$29:$F$31,$L$16:$L$18)*MIN(Q91/O91,1)*X91</f>
        <v>1187.7952088994127</v>
      </c>
      <c r="AB91">
        <f t="shared" ref="AB91:AB105" si="28">SUMPRODUCT($F$22:$F$24,$L$16:$L$18)*X91</f>
        <v>921.6500699499577</v>
      </c>
      <c r="AC91" s="446">
        <v>0</v>
      </c>
      <c r="AD91" s="446">
        <v>0</v>
      </c>
      <c r="AE91" s="446">
        <v>0</v>
      </c>
      <c r="AF91" s="447">
        <f t="shared" si="20"/>
        <v>10171.153915378953</v>
      </c>
      <c r="AG91" s="452">
        <f t="shared" si="25"/>
        <v>513.76669216456219</v>
      </c>
      <c r="AH91" s="453">
        <f t="shared" si="15"/>
        <v>-2.3972232737132728</v>
      </c>
      <c r="AI91" s="104">
        <f t="shared" si="26"/>
        <v>-7.7972232737132714</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22.362612484777529</v>
      </c>
      <c r="R92" s="1309">
        <f>(K$15+1-$J$15)*$O$2+25</f>
        <v>105.32653061224489</v>
      </c>
      <c r="S92" s="1309">
        <f>(K$15+L$15+1-$J$15)*$O$2+$E$14+D92*$O$3</f>
        <v>216.71836734693878</v>
      </c>
      <c r="T92" s="1309">
        <v>0</v>
      </c>
      <c r="U92" s="450">
        <f t="shared" si="13"/>
        <v>0.97260550460307171</v>
      </c>
      <c r="V92" s="450">
        <f t="shared" si="22"/>
        <v>0.53660993357410858</v>
      </c>
      <c r="W92" s="450">
        <v>0</v>
      </c>
      <c r="X92" s="451">
        <f t="shared" si="23"/>
        <v>1</v>
      </c>
      <c r="Y92" s="446">
        <f t="shared" si="24"/>
        <v>5927.9546067602414</v>
      </c>
      <c r="Z92" s="446">
        <f t="shared" si="14"/>
        <v>3862.3446756714034</v>
      </c>
      <c r="AA92" s="446">
        <f>SUMPRODUCT($F$29:$F$31,$L$16:$L$18)*MIN(Q92/O92,1)*X92</f>
        <v>1187.7952088994127</v>
      </c>
      <c r="AB92">
        <f t="shared" si="28"/>
        <v>921.6500699499577</v>
      </c>
      <c r="AC92" s="446">
        <v>0</v>
      </c>
      <c r="AD92" s="446">
        <v>0</v>
      </c>
      <c r="AE92" s="446">
        <v>0</v>
      </c>
      <c r="AF92" s="447">
        <f t="shared" si="20"/>
        <v>11899.744561281015</v>
      </c>
      <c r="AG92" s="452">
        <f t="shared" si="25"/>
        <v>532.1267615481554</v>
      </c>
      <c r="AH92" s="453">
        <f t="shared" si="15"/>
        <v>-0.61261248477752872</v>
      </c>
      <c r="AI92" s="104">
        <f t="shared" si="26"/>
        <v>-10.362612484777529</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24.996846084118328</v>
      </c>
      <c r="R93" s="1309">
        <f>(L$15+1-$J$15)*$O$2+25</f>
        <v>145.48979591836735</v>
      </c>
      <c r="S93" s="1309">
        <f>(L$15+L$15+1-$J$15)*$O$2+$E$15+D93*$O$3</f>
        <v>251.88163265306122</v>
      </c>
      <c r="T93" s="1309">
        <v>0</v>
      </c>
      <c r="U93" s="450">
        <f t="shared" ref="U93:U124" si="29">IF(N93&gt;0,MIN(1,N93/Q93),0)</f>
        <v>1</v>
      </c>
      <c r="V93" s="450">
        <f t="shared" si="22"/>
        <v>0.48006056282533038</v>
      </c>
      <c r="W93" s="450">
        <v>0</v>
      </c>
      <c r="X93" s="451">
        <f t="shared" si="23"/>
        <v>1</v>
      </c>
      <c r="Y93" s="446">
        <f t="shared" si="24"/>
        <v>6884.0763175280226</v>
      </c>
      <c r="Z93" s="446">
        <f t="shared" ref="Z93:Z124" si="30">Q93*U93*$O$6*(sndfact-1)*$K$4</f>
        <v>4438.9165692676779</v>
      </c>
      <c r="AA93" s="446">
        <f>SUMPRODUCT($F$29:$F$31,$L$16:$L$18)*MIN(Q93/O93,1)*X93</f>
        <v>1187.7952088994127</v>
      </c>
      <c r="AB93">
        <f t="shared" si="28"/>
        <v>921.6500699499577</v>
      </c>
      <c r="AC93" s="446">
        <v>0</v>
      </c>
      <c r="AD93" s="446">
        <v>0</v>
      </c>
      <c r="AE93" s="446">
        <v>0</v>
      </c>
      <c r="AF93" s="447">
        <f t="shared" si="20"/>
        <v>13432.438165645071</v>
      </c>
      <c r="AG93" s="452">
        <f t="shared" si="25"/>
        <v>537.36531882633506</v>
      </c>
      <c r="AH93" s="453">
        <f t="shared" ref="AH93:AH124" si="31">N93-$Q93</f>
        <v>1.1031539158816699</v>
      </c>
      <c r="AI93" s="104">
        <f t="shared" si="26"/>
        <v>-12.996846084118328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27.667065172188448</v>
      </c>
      <c r="R94" s="1309">
        <f>(M$15+1-$J$15)*$O$2+25</f>
        <v>185.65306122448979</v>
      </c>
      <c r="S94" s="1309">
        <f>(M$15+L$15+1-$J$15)*$O$2+$E$16+D94*$O$3</f>
        <v>287.04489795918369</v>
      </c>
      <c r="T94" s="1309">
        <v>0</v>
      </c>
      <c r="U94" s="450">
        <f t="shared" si="29"/>
        <v>1</v>
      </c>
      <c r="V94" s="450">
        <f t="shared" si="22"/>
        <v>0.43372869241160672</v>
      </c>
      <c r="W94" s="450">
        <v>0</v>
      </c>
      <c r="X94" s="451">
        <f t="shared" si="23"/>
        <v>1</v>
      </c>
      <c r="Y94" s="446">
        <f t="shared" si="24"/>
        <v>7840.1980282958039</v>
      </c>
      <c r="Z94" s="446">
        <f t="shared" si="30"/>
        <v>4913.0915797358966</v>
      </c>
      <c r="AA94" s="446">
        <f>SUMPRODUCT($F$29:$F$31,$L$16:$L$18)*MIN(Q94/O94,1)*X94</f>
        <v>1187.7952088994127</v>
      </c>
      <c r="AB94">
        <f t="shared" si="28"/>
        <v>921.6500699499577</v>
      </c>
      <c r="AC94" s="446">
        <v>0</v>
      </c>
      <c r="AD94" s="446">
        <v>0</v>
      </c>
      <c r="AE94" s="446">
        <v>0</v>
      </c>
      <c r="AF94" s="447">
        <f t="shared" si="20"/>
        <v>14862.734886881071</v>
      </c>
      <c r="AG94" s="452">
        <f t="shared" si="25"/>
        <v>537.19954734560804</v>
      </c>
      <c r="AH94" s="453">
        <f t="shared" si="31"/>
        <v>2.7829348278115518</v>
      </c>
      <c r="AI94" s="104">
        <f t="shared" si="26"/>
        <v>-15.667065172188448</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30.337284260258578</v>
      </c>
      <c r="R95" s="1309">
        <f>(N$15+1-$J$15)*$O$2+25</f>
        <v>225.81632653061223</v>
      </c>
      <c r="S95" s="1309">
        <f>(N$15+L$15+1-$J$15)*$O$2+$E$17+D95*$O$3</f>
        <v>322.2081632653061</v>
      </c>
      <c r="T95" s="1309">
        <v>0</v>
      </c>
      <c r="U95" s="450">
        <f t="shared" si="29"/>
        <v>1</v>
      </c>
      <c r="V95" s="450">
        <f t="shared" si="22"/>
        <v>0.39555287470869083</v>
      </c>
      <c r="W95" s="450">
        <v>0</v>
      </c>
      <c r="X95" s="451">
        <f t="shared" si="23"/>
        <v>1</v>
      </c>
      <c r="Y95" s="446">
        <f t="shared" si="24"/>
        <v>8796.3197390635869</v>
      </c>
      <c r="Z95" s="446">
        <f t="shared" si="30"/>
        <v>5387.266590204119</v>
      </c>
      <c r="AA95" s="446">
        <f>SUMPRODUCT($F$29:$F$31,$L$16:$L$18)*MIN(Q95/O95,1)*X95</f>
        <v>1187.7952088994127</v>
      </c>
      <c r="AB95">
        <f t="shared" si="28"/>
        <v>921.6500699499577</v>
      </c>
      <c r="AC95" s="446">
        <v>0</v>
      </c>
      <c r="AD95" s="446">
        <v>0</v>
      </c>
      <c r="AE95" s="446">
        <v>0</v>
      </c>
      <c r="AF95" s="447">
        <f t="shared" si="20"/>
        <v>16293.031608117077</v>
      </c>
      <c r="AG95" s="452">
        <f t="shared" si="25"/>
        <v>537.06295752585618</v>
      </c>
      <c r="AH95" s="453">
        <f t="shared" si="31"/>
        <v>4.4627157397414194</v>
      </c>
      <c r="AI95" s="104">
        <f t="shared" si="26"/>
        <v>-18.337284260258578</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22.634082390011546</v>
      </c>
      <c r="R96" s="1309">
        <f>(J$15+1-$J$15)*$O$2+25</f>
        <v>65.16326530612244</v>
      </c>
      <c r="S96" s="1309">
        <f>(J$15+M$15+1-$J$15)*$O$2+$E$13+D96*$O$3</f>
        <v>221.71836734693878</v>
      </c>
      <c r="T96" s="1309">
        <v>0</v>
      </c>
      <c r="U96" s="450">
        <f t="shared" si="29"/>
        <v>0.76875217206413649</v>
      </c>
      <c r="V96" s="450">
        <f t="shared" si="22"/>
        <v>0.6185362303964318</v>
      </c>
      <c r="W96" s="450">
        <v>0</v>
      </c>
      <c r="X96" s="451">
        <f t="shared" si="23"/>
        <v>1</v>
      </c>
      <c r="Y96" s="446">
        <f t="shared" si="24"/>
        <v>5927.9546067602414</v>
      </c>
      <c r="Z96" s="446">
        <f t="shared" si="30"/>
        <v>3089.8757405371221</v>
      </c>
      <c r="AA96" s="446">
        <f>SUMPRODUCT($F$30:$F$32,$M$16:$M$18)*MIN(Q96/O96,1)*X96</f>
        <v>1462.7610770493147</v>
      </c>
      <c r="AB96">
        <f t="shared" si="28"/>
        <v>921.6500699499577</v>
      </c>
      <c r="AC96" s="446">
        <v>0</v>
      </c>
      <c r="AD96" s="446">
        <v>0</v>
      </c>
      <c r="AE96" s="446">
        <v>0</v>
      </c>
      <c r="AF96" s="447">
        <f t="shared" si="20"/>
        <v>11402.241494296637</v>
      </c>
      <c r="AG96" s="452">
        <f t="shared" si="25"/>
        <v>503.76424799657275</v>
      </c>
      <c r="AH96" s="453">
        <f t="shared" si="31"/>
        <v>-5.2340823900115474</v>
      </c>
      <c r="AI96" s="104">
        <f t="shared" si="26"/>
        <v>-8.634082390011546</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25.199471601075807</v>
      </c>
      <c r="R97" s="1309">
        <f>(K$15+1-$J$15)*$O$2+25</f>
        <v>105.32653061224489</v>
      </c>
      <c r="S97" s="1309">
        <f>(K$15+M$15+1-$J$15)*$O$2+$E$14+D97*$O$3</f>
        <v>256.88163265306122</v>
      </c>
      <c r="T97" s="1309">
        <v>0</v>
      </c>
      <c r="U97" s="450">
        <f t="shared" si="29"/>
        <v>0.86311333603802454</v>
      </c>
      <c r="V97" s="450">
        <f t="shared" si="22"/>
        <v>0.55556720480608479</v>
      </c>
      <c r="W97" s="450">
        <v>0</v>
      </c>
      <c r="X97" s="451">
        <f t="shared" si="23"/>
        <v>1</v>
      </c>
      <c r="Y97" s="446">
        <f t="shared" si="24"/>
        <v>6884.0763175280226</v>
      </c>
      <c r="Z97" s="446">
        <f t="shared" si="30"/>
        <v>3862.3446756714034</v>
      </c>
      <c r="AA97" s="446">
        <f>SUMPRODUCT($F$30:$F$32,$M$16:$M$18)*MIN(Q97/O97,1)*X97</f>
        <v>1462.7610770493147</v>
      </c>
      <c r="AB97">
        <f t="shared" si="28"/>
        <v>921.6500699499577</v>
      </c>
      <c r="AC97" s="446">
        <v>0</v>
      </c>
      <c r="AD97" s="446">
        <v>0</v>
      </c>
      <c r="AE97" s="446">
        <v>0</v>
      </c>
      <c r="AF97" s="447">
        <f t="shared" si="20"/>
        <v>13130.8321401987</v>
      </c>
      <c r="AG97" s="452">
        <f t="shared" si="25"/>
        <v>521.0756934934351</v>
      </c>
      <c r="AH97" s="453">
        <f t="shared" si="31"/>
        <v>-3.4494716010758069</v>
      </c>
      <c r="AI97" s="104">
        <f t="shared" si="26"/>
        <v>-11.199471601075807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27.764860812140064</v>
      </c>
      <c r="R98" s="1309">
        <f>(L$15+1-$J$15)*$O$2+25</f>
        <v>145.48979591836735</v>
      </c>
      <c r="S98" s="1309">
        <f>(L$15+M$15+1-$J$15)*$O$2+$E$15+D98*$O$3</f>
        <v>292.04489795918369</v>
      </c>
      <c r="T98" s="1309">
        <v>0</v>
      </c>
      <c r="U98" s="450">
        <f t="shared" si="29"/>
        <v>0.94003712738181233</v>
      </c>
      <c r="V98" s="450">
        <f t="shared" si="22"/>
        <v>0.50423447445767711</v>
      </c>
      <c r="W98" s="450">
        <v>0</v>
      </c>
      <c r="X98" s="451">
        <f t="shared" si="23"/>
        <v>1</v>
      </c>
      <c r="Y98" s="446">
        <f t="shared" si="24"/>
        <v>7840.1980282958039</v>
      </c>
      <c r="Z98" s="446">
        <f t="shared" si="30"/>
        <v>4634.8136108056833</v>
      </c>
      <c r="AA98" s="446">
        <f>SUMPRODUCT($F$30:$F$32,$M$16:$M$18)*MIN(Q98/O98,1)*X98</f>
        <v>1462.7610770493147</v>
      </c>
      <c r="AB98">
        <f t="shared" si="28"/>
        <v>921.6500699499577</v>
      </c>
      <c r="AC98" s="446">
        <v>0</v>
      </c>
      <c r="AD98" s="446">
        <v>0</v>
      </c>
      <c r="AE98" s="446">
        <v>0</v>
      </c>
      <c r="AF98" s="447">
        <f t="shared" si="20"/>
        <v>14859.422786100758</v>
      </c>
      <c r="AG98" s="452">
        <f t="shared" si="25"/>
        <v>535.1880885209963</v>
      </c>
      <c r="AH98" s="453">
        <f t="shared" si="31"/>
        <v>-1.6648608121400663</v>
      </c>
      <c r="AI98" s="104">
        <f t="shared" si="26"/>
        <v>-13.764860812140064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30.337284260258574</v>
      </c>
      <c r="R99" s="1309">
        <f>(M$15+1-$J$15)*$O$2+25</f>
        <v>185.65306122448979</v>
      </c>
      <c r="S99" s="1309">
        <f>(M$15+M$15+1-$J$15)*$O$2+$E$16+D99*$O$3</f>
        <v>327.2081632653061</v>
      </c>
      <c r="T99" s="1309">
        <v>0</v>
      </c>
      <c r="U99" s="450">
        <f t="shared" si="29"/>
        <v>1</v>
      </c>
      <c r="V99" s="450">
        <f t="shared" si="22"/>
        <v>0.46147835382680602</v>
      </c>
      <c r="W99" s="450">
        <v>0</v>
      </c>
      <c r="X99" s="451">
        <f t="shared" si="23"/>
        <v>1</v>
      </c>
      <c r="Y99" s="446">
        <f t="shared" si="24"/>
        <v>8796.3197390635851</v>
      </c>
      <c r="Z99" s="446">
        <f t="shared" si="30"/>
        <v>5387.2665902041181</v>
      </c>
      <c r="AA99" s="446">
        <f>SUMPRODUCT($F$30:$F$32,$M$16:$M$18)*MIN(Q99/O99,1)*X99</f>
        <v>1462.7610770493147</v>
      </c>
      <c r="AB99">
        <f t="shared" si="28"/>
        <v>921.6500699499577</v>
      </c>
      <c r="AC99" s="446">
        <v>0</v>
      </c>
      <c r="AD99" s="446">
        <v>0</v>
      </c>
      <c r="AE99" s="446">
        <v>0</v>
      </c>
      <c r="AF99" s="447">
        <f t="shared" si="20"/>
        <v>16567.997476266977</v>
      </c>
      <c r="AG99" s="452">
        <f t="shared" si="25"/>
        <v>546.12658582531151</v>
      </c>
      <c r="AH99" s="453">
        <f t="shared" si="31"/>
        <v>0.11271573974142512</v>
      </c>
      <c r="AI99" s="104">
        <f t="shared" si="26"/>
        <v>-16.337284260258574</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33.007503348328704</v>
      </c>
      <c r="R100" s="1309">
        <f>(N$15+1-$J$15)*$O$2+25</f>
        <v>225.81632653061223</v>
      </c>
      <c r="S100" s="1309">
        <f>(N$15+M$15+1-$J$15)*$O$2+$E$17+D100*$O$3</f>
        <v>362.37142857142857</v>
      </c>
      <c r="T100" s="1309">
        <v>0</v>
      </c>
      <c r="U100" s="450">
        <f t="shared" si="29"/>
        <v>1</v>
      </c>
      <c r="V100" s="450">
        <f t="shared" si="22"/>
        <v>0.42414598439202683</v>
      </c>
      <c r="W100" s="450">
        <v>0</v>
      </c>
      <c r="X100" s="451">
        <f t="shared" si="23"/>
        <v>1</v>
      </c>
      <c r="Y100" s="446">
        <f t="shared" si="24"/>
        <v>9752.4414498313672</v>
      </c>
      <c r="Z100" s="446">
        <f t="shared" si="30"/>
        <v>5861.4416006723395</v>
      </c>
      <c r="AA100" s="446">
        <f>SUMPRODUCT($F$30:$F$32,$M$16:$M$18)*MIN(Q100/O100,1)*X100</f>
        <v>1462.7610770493147</v>
      </c>
      <c r="AB100">
        <f t="shared" si="28"/>
        <v>921.6500699499577</v>
      </c>
      <c r="AC100" s="446">
        <v>0</v>
      </c>
      <c r="AD100" s="446">
        <v>0</v>
      </c>
      <c r="AE100" s="446">
        <v>0</v>
      </c>
      <c r="AF100" s="447">
        <f t="shared" si="20"/>
        <v>17998.294197502983</v>
      </c>
      <c r="AG100" s="452">
        <f t="shared" si="25"/>
        <v>545.27887212694338</v>
      </c>
      <c r="AH100" s="453">
        <f t="shared" si="31"/>
        <v>1.7924966516712928</v>
      </c>
      <c r="AI100" s="104">
        <f t="shared" si="26"/>
        <v>-19.007503348328704</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25.470941506309828</v>
      </c>
      <c r="R101" s="1309">
        <f>(J$15+1-$J$15)*$O$2+25</f>
        <v>65.16326530612244</v>
      </c>
      <c r="S101" s="1309">
        <f>(J$15+N$15+1-$J$15)*$O$2+$E$13+D101*$O$3</f>
        <v>261.88163265306122</v>
      </c>
      <c r="T101" s="1309">
        <v>0</v>
      </c>
      <c r="U101" s="159">
        <f t="shared" si="29"/>
        <v>0.68313140272767525</v>
      </c>
      <c r="V101" s="159">
        <f t="shared" si="22"/>
        <v>0.62816680710590833</v>
      </c>
      <c r="W101" s="450">
        <v>0</v>
      </c>
      <c r="X101" s="461">
        <f t="shared" si="23"/>
        <v>1</v>
      </c>
      <c r="Y101" s="106">
        <f t="shared" si="24"/>
        <v>6884.0763175280244</v>
      </c>
      <c r="Z101" s="106">
        <f t="shared" si="30"/>
        <v>3089.8757405371221</v>
      </c>
      <c r="AA101" s="106">
        <f>SUMPRODUCT($F$31:$F$33,$N$16:$N$18)*MIN(Q101/O101,1)*X101</f>
        <v>1759.726945199217</v>
      </c>
      <c r="AB101" s="28">
        <f t="shared" si="28"/>
        <v>921.6500699499577</v>
      </c>
      <c r="AC101" s="446">
        <v>0</v>
      </c>
      <c r="AD101" s="446">
        <v>0</v>
      </c>
      <c r="AE101" s="446">
        <v>0</v>
      </c>
      <c r="AF101" s="458">
        <f t="shared" si="20"/>
        <v>12655.32907321432</v>
      </c>
      <c r="AG101" s="452">
        <f t="shared" si="25"/>
        <v>496.85360354972585</v>
      </c>
      <c r="AH101" s="462">
        <f t="shared" si="31"/>
        <v>-8.0709415063098291</v>
      </c>
      <c r="AI101" s="105">
        <f t="shared" si="26"/>
        <v>-9.4709415063098277</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28.036330717374092</v>
      </c>
      <c r="R102" s="1309">
        <f>(K$15+1-$J$15)*$O$2+25</f>
        <v>105.32653061224489</v>
      </c>
      <c r="S102" s="1309">
        <f>(K$15+N$15+1-$J$15)*$O$2+$E$14+D102*$O$3</f>
        <v>297.04489795918369</v>
      </c>
      <c r="T102" s="1309">
        <v>0</v>
      </c>
      <c r="U102" s="159">
        <f t="shared" si="29"/>
        <v>0.77577912100036484</v>
      </c>
      <c r="V102" s="159">
        <f t="shared" si="22"/>
        <v>0.5706880890117626</v>
      </c>
      <c r="W102" s="450">
        <v>0</v>
      </c>
      <c r="X102" s="461">
        <f t="shared" si="23"/>
        <v>1</v>
      </c>
      <c r="Y102" s="106">
        <f t="shared" si="24"/>
        <v>7840.1980282958057</v>
      </c>
      <c r="Z102" s="106">
        <f t="shared" si="30"/>
        <v>3862.3446756714034</v>
      </c>
      <c r="AA102" s="106">
        <f>SUMPRODUCT($F$31:$F$33,$N$16:$N$18)*MIN(Q102/O102,1)*X102</f>
        <v>1759.726945199217</v>
      </c>
      <c r="AB102" s="28">
        <f t="shared" si="28"/>
        <v>921.6500699499577</v>
      </c>
      <c r="AC102" s="446">
        <v>0</v>
      </c>
      <c r="AD102" s="446">
        <v>0</v>
      </c>
      <c r="AE102" s="446">
        <v>0</v>
      </c>
      <c r="AF102" s="458">
        <f t="shared" si="20"/>
        <v>14383.919719116382</v>
      </c>
      <c r="AG102" s="452">
        <f t="shared" si="25"/>
        <v>513.04572856257107</v>
      </c>
      <c r="AH102" s="462">
        <f t="shared" si="31"/>
        <v>-6.2863307173740921</v>
      </c>
      <c r="AI102" s="105">
        <f t="shared" si="26"/>
        <v>-12.036330717374092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30.601719928438346</v>
      </c>
      <c r="R103" s="1309">
        <f>(L$15+1-$J$15)*$O$2+25</f>
        <v>145.48979591836735</v>
      </c>
      <c r="S103" s="1309">
        <f>(L$15+N$15+1-$J$15)*$O$2+$E$15+D103*$O$3</f>
        <v>332.2081632653061</v>
      </c>
      <c r="T103" s="1309">
        <v>0</v>
      </c>
      <c r="U103" s="159">
        <f t="shared" si="29"/>
        <v>0.85289323806094719</v>
      </c>
      <c r="V103" s="159">
        <f t="shared" si="22"/>
        <v>0.5228464294626497</v>
      </c>
      <c r="W103" s="450">
        <v>0</v>
      </c>
      <c r="X103" s="461">
        <f t="shared" si="23"/>
        <v>1</v>
      </c>
      <c r="Y103" s="106">
        <f t="shared" si="24"/>
        <v>8796.3197390635869</v>
      </c>
      <c r="Z103" s="106">
        <f t="shared" si="30"/>
        <v>4634.8136108056833</v>
      </c>
      <c r="AA103" s="106">
        <f>SUMPRODUCT($F$31:$F$33,$N$16:$N$18)*MIN(Q103/O103,1)*X103</f>
        <v>1759.726945199217</v>
      </c>
      <c r="AB103" s="28">
        <f t="shared" si="28"/>
        <v>921.6500699499577</v>
      </c>
      <c r="AC103" s="446">
        <v>0</v>
      </c>
      <c r="AD103" s="446">
        <v>0</v>
      </c>
      <c r="AE103" s="446">
        <v>0</v>
      </c>
      <c r="AF103" s="458">
        <f t="shared" si="20"/>
        <v>16112.510365018445</v>
      </c>
      <c r="AG103" s="452">
        <f t="shared" si="25"/>
        <v>526.52303212686422</v>
      </c>
      <c r="AH103" s="462">
        <f t="shared" si="31"/>
        <v>-4.501719928438348</v>
      </c>
      <c r="AI103" s="105">
        <f t="shared" si="26"/>
        <v>-14.601719928438346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33.167109139502607</v>
      </c>
      <c r="R104" s="1309">
        <f>(M$15+1-$J$15)*$O$2+25</f>
        <v>185.65306122448979</v>
      </c>
      <c r="S104" s="1309">
        <f>(M$15+N$15+1-$J$15)*$O$2+$E$16+D104*$O$3</f>
        <v>367.37142857142857</v>
      </c>
      <c r="T104" s="1309">
        <v>0</v>
      </c>
      <c r="U104" s="159">
        <f t="shared" si="29"/>
        <v>0.91807820428140707</v>
      </c>
      <c r="V104" s="159">
        <f t="shared" si="22"/>
        <v>0.48240562458136338</v>
      </c>
      <c r="W104" s="450">
        <v>0</v>
      </c>
      <c r="X104" s="461">
        <f t="shared" si="23"/>
        <v>1</v>
      </c>
      <c r="Y104" s="106">
        <f t="shared" si="24"/>
        <v>9752.4414498313672</v>
      </c>
      <c r="Z104" s="106">
        <f t="shared" si="30"/>
        <v>5407.2825459399646</v>
      </c>
      <c r="AA104" s="106">
        <f>SUMPRODUCT($F$31:$F$33,$N$16:$N$18)*MIN(Q104/O104,1)*X104</f>
        <v>1759.726945199217</v>
      </c>
      <c r="AB104" s="28">
        <f t="shared" si="28"/>
        <v>921.6500699499577</v>
      </c>
      <c r="AC104" s="446">
        <v>0</v>
      </c>
      <c r="AD104" s="446">
        <v>0</v>
      </c>
      <c r="AE104" s="446">
        <v>0</v>
      </c>
      <c r="AF104" s="458">
        <f t="shared" si="20"/>
        <v>17841.101010920509</v>
      </c>
      <c r="AG104" s="452">
        <f t="shared" si="25"/>
        <v>537.91546727451885</v>
      </c>
      <c r="AH104" s="462">
        <f t="shared" si="31"/>
        <v>-2.7171091395026075</v>
      </c>
      <c r="AI104" s="105">
        <f t="shared" si="26"/>
        <v>-17.167109139502607</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35.732498350566871</v>
      </c>
      <c r="R105" s="1309">
        <f>(N$15+1-$J$15)*$O$2+25</f>
        <v>225.81632653061223</v>
      </c>
      <c r="S105" s="1309">
        <f>(N$15+N$15+1-$J$15)*$O$2+$E$17+D105*$O$3</f>
        <v>402.53469387755104</v>
      </c>
      <c r="T105" s="1309">
        <v>0</v>
      </c>
      <c r="U105" s="159">
        <f t="shared" si="29"/>
        <v>0.97390335426819996</v>
      </c>
      <c r="V105" s="159">
        <f t="shared" si="22"/>
        <v>0.4477716571348046</v>
      </c>
      <c r="W105" s="450">
        <v>0</v>
      </c>
      <c r="X105" s="461">
        <f t="shared" si="23"/>
        <v>1</v>
      </c>
      <c r="Y105" s="106">
        <f t="shared" si="24"/>
        <v>10708.563160599149</v>
      </c>
      <c r="Z105" s="106">
        <f t="shared" si="30"/>
        <v>6179.7514810742441</v>
      </c>
      <c r="AA105" s="106">
        <f>SUMPRODUCT($F$31:$F$33,$N$16:$N$18)*MIN(Q105/O105,1)*X105</f>
        <v>1759.726945199217</v>
      </c>
      <c r="AB105" s="28">
        <f t="shared" si="28"/>
        <v>921.6500699499577</v>
      </c>
      <c r="AC105" s="446">
        <v>0</v>
      </c>
      <c r="AD105" s="446">
        <v>0</v>
      </c>
      <c r="AE105" s="446">
        <v>0</v>
      </c>
      <c r="AF105" s="458">
        <f t="shared" si="20"/>
        <v>19569.691656822572</v>
      </c>
      <c r="AG105" s="452">
        <f t="shared" si="25"/>
        <v>547.67207892453769</v>
      </c>
      <c r="AH105" s="462">
        <f t="shared" si="31"/>
        <v>-0.93249835056687402</v>
      </c>
      <c r="AI105" s="105">
        <f t="shared" si="26"/>
        <v>-19.732498350566871</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22.634082390011546</v>
      </c>
      <c r="R106" s="1309">
        <f>(J$15+1-$J$15)*$O$2+25</f>
        <v>65.16326530612244</v>
      </c>
      <c r="S106" s="1309">
        <f>(J$15+L$15+1-$J$15)*$O$2+$E$13+D106*$O$3</f>
        <v>181.55510204081631</v>
      </c>
      <c r="T106" s="1309">
        <v>0</v>
      </c>
      <c r="U106" s="450">
        <f t="shared" si="29"/>
        <v>0.76875217206413649</v>
      </c>
      <c r="V106" s="450">
        <f t="shared" si="22"/>
        <v>0.53017391176837003</v>
      </c>
      <c r="W106" s="450">
        <v>0</v>
      </c>
      <c r="X106" s="451">
        <f t="shared" si="23"/>
        <v>1</v>
      </c>
      <c r="Y106" s="446">
        <f t="shared" si="24"/>
        <v>5927.9546067602414</v>
      </c>
      <c r="Z106" s="446">
        <f t="shared" si="30"/>
        <v>3089.8757405371221</v>
      </c>
      <c r="AA106" s="446">
        <f>SUMPRODUCT($F$29:$F$31,$L$16:$L$18)*MIN(Q106/O106,1)*X106</f>
        <v>1187.7952088994127</v>
      </c>
      <c r="AB106" s="28">
        <f t="shared" ref="AB106:AB120" si="34">SUMPRODUCT($F$23:$F$25,$M$16:$M$18)*X106</f>
        <v>1190.4605772038879</v>
      </c>
      <c r="AC106" s="446">
        <v>0</v>
      </c>
      <c r="AD106" s="446">
        <v>0</v>
      </c>
      <c r="AE106" s="446">
        <v>0</v>
      </c>
      <c r="AF106" s="447">
        <f t="shared" si="20"/>
        <v>11396.086133400666</v>
      </c>
      <c r="AG106" s="452">
        <f t="shared" si="25"/>
        <v>503.49229701619254</v>
      </c>
      <c r="AH106" s="453">
        <f t="shared" si="31"/>
        <v>-5.2340823900115474</v>
      </c>
      <c r="AI106" s="104">
        <f t="shared" si="26"/>
        <v>-10.634082390011546</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25.199471601075807</v>
      </c>
      <c r="R107" s="1309">
        <f>(K$15+1-$J$15)*$O$2+25</f>
        <v>105.32653061224489</v>
      </c>
      <c r="S107" s="1309">
        <f>(K$15+L$15+1-$J$15)*$O$2+$E$14+D107*$O$3</f>
        <v>216.71836734693878</v>
      </c>
      <c r="T107" s="1309">
        <v>0</v>
      </c>
      <c r="U107" s="450">
        <f t="shared" si="29"/>
        <v>0.86311333603802454</v>
      </c>
      <c r="V107" s="450">
        <f t="shared" si="22"/>
        <v>0.47620046126235838</v>
      </c>
      <c r="W107" s="450">
        <v>0</v>
      </c>
      <c r="X107" s="451">
        <f t="shared" si="23"/>
        <v>1</v>
      </c>
      <c r="Y107" s="446">
        <f t="shared" si="24"/>
        <v>6884.0763175280226</v>
      </c>
      <c r="Z107" s="446">
        <f t="shared" si="30"/>
        <v>3862.3446756714034</v>
      </c>
      <c r="AA107" s="446">
        <f>SUMPRODUCT($F$29:$F$31,$L$16:$L$18)*MIN(Q107/O107,1)*X107</f>
        <v>1187.7952088994127</v>
      </c>
      <c r="AB107" s="28">
        <f t="shared" si="34"/>
        <v>1190.4605772038879</v>
      </c>
      <c r="AC107" s="446">
        <v>0</v>
      </c>
      <c r="AD107" s="446">
        <v>0</v>
      </c>
      <c r="AE107" s="446">
        <v>0</v>
      </c>
      <c r="AF107" s="447">
        <f t="shared" si="20"/>
        <v>13124.676779302728</v>
      </c>
      <c r="AG107" s="452">
        <f t="shared" si="25"/>
        <v>520.83142801861027</v>
      </c>
      <c r="AH107" s="453">
        <f t="shared" si="31"/>
        <v>-3.4494716010758069</v>
      </c>
      <c r="AI107" s="104">
        <f t="shared" si="26"/>
        <v>-13.199471601075807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27.764860812140064</v>
      </c>
      <c r="R108" s="1309">
        <f>(L$15+1-$J$15)*$O$2+25</f>
        <v>145.48979591836735</v>
      </c>
      <c r="S108" s="1309">
        <f>(L$15+L$15+1-$J$15)*$O$2+$E$15+D108*$O$3</f>
        <v>251.88163265306122</v>
      </c>
      <c r="T108" s="1309">
        <v>0</v>
      </c>
      <c r="U108" s="450">
        <f t="shared" si="29"/>
        <v>0.94003712738181233</v>
      </c>
      <c r="V108" s="450">
        <f t="shared" si="22"/>
        <v>0.43220097810658042</v>
      </c>
      <c r="W108" s="450">
        <v>0</v>
      </c>
      <c r="X108" s="451">
        <f t="shared" si="23"/>
        <v>1</v>
      </c>
      <c r="Y108" s="446">
        <f t="shared" si="24"/>
        <v>7840.1980282958039</v>
      </c>
      <c r="Z108" s="446">
        <f t="shared" si="30"/>
        <v>4634.8136108056833</v>
      </c>
      <c r="AA108" s="446">
        <f>SUMPRODUCT($F$29:$F$31,$L$16:$L$18)*MIN(Q108/O108,1)*X108</f>
        <v>1187.7952088994127</v>
      </c>
      <c r="AB108" s="28">
        <f t="shared" si="34"/>
        <v>1190.4605772038879</v>
      </c>
      <c r="AC108" s="446">
        <v>0</v>
      </c>
      <c r="AD108" s="446">
        <v>0</v>
      </c>
      <c r="AE108" s="446">
        <v>0</v>
      </c>
      <c r="AF108" s="447">
        <f t="shared" si="20"/>
        <v>14853.267425204789</v>
      </c>
      <c r="AG108" s="452">
        <f t="shared" si="25"/>
        <v>534.96639243767652</v>
      </c>
      <c r="AH108" s="453">
        <f t="shared" si="31"/>
        <v>-1.6648608121400663</v>
      </c>
      <c r="AI108" s="104">
        <f t="shared" si="26"/>
        <v>-15.764860812140064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30.337284260258574</v>
      </c>
      <c r="R109" s="1309">
        <f>(M$15+1-$J$15)*$O$2+25</f>
        <v>185.65306122448979</v>
      </c>
      <c r="S109" s="1309">
        <f>(M$15+L$15+1-$J$15)*$O$2+$E$16+D109*$O$3</f>
        <v>287.04489795918369</v>
      </c>
      <c r="T109" s="1309">
        <v>0</v>
      </c>
      <c r="U109" s="450">
        <f t="shared" si="29"/>
        <v>1</v>
      </c>
      <c r="V109" s="450">
        <f t="shared" si="22"/>
        <v>0.39555287470869088</v>
      </c>
      <c r="W109" s="450">
        <v>0</v>
      </c>
      <c r="X109" s="451">
        <f t="shared" si="23"/>
        <v>1</v>
      </c>
      <c r="Y109" s="446">
        <f t="shared" si="24"/>
        <v>8796.3197390635851</v>
      </c>
      <c r="Z109" s="446">
        <f t="shared" si="30"/>
        <v>5387.2665902041181</v>
      </c>
      <c r="AA109" s="446">
        <f>SUMPRODUCT($F$29:$F$31,$L$16:$L$18)*MIN(Q109/O109,1)*X109</f>
        <v>1187.7952088994127</v>
      </c>
      <c r="AB109" s="28">
        <f t="shared" si="34"/>
        <v>1190.4605772038879</v>
      </c>
      <c r="AC109" s="446">
        <v>0</v>
      </c>
      <c r="AD109" s="446">
        <v>0</v>
      </c>
      <c r="AE109" s="446">
        <v>0</v>
      </c>
      <c r="AF109" s="447">
        <f t="shared" si="20"/>
        <v>16561.842115371004</v>
      </c>
      <c r="AG109" s="452">
        <f t="shared" si="25"/>
        <v>545.92368826720553</v>
      </c>
      <c r="AH109" s="453">
        <f t="shared" si="31"/>
        <v>0.11271573974142512</v>
      </c>
      <c r="AI109" s="104">
        <f t="shared" si="26"/>
        <v>-18.337284260258574</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33.007503348328704</v>
      </c>
      <c r="R110" s="1309">
        <f>(N$15+1-$J$15)*$O$2+25</f>
        <v>225.81632653061223</v>
      </c>
      <c r="S110" s="1309">
        <f>(N$15+L$15+1-$J$15)*$O$2+$E$17+D110*$O$3</f>
        <v>322.2081632653061</v>
      </c>
      <c r="T110" s="1309">
        <v>0</v>
      </c>
      <c r="U110" s="450">
        <f t="shared" si="29"/>
        <v>1</v>
      </c>
      <c r="V110" s="450">
        <f t="shared" si="22"/>
        <v>0.36355370090745159</v>
      </c>
      <c r="W110" s="450">
        <v>0</v>
      </c>
      <c r="X110" s="451">
        <f t="shared" si="23"/>
        <v>1</v>
      </c>
      <c r="Y110" s="446">
        <f t="shared" si="24"/>
        <v>9752.4414498313672</v>
      </c>
      <c r="Z110" s="446">
        <f t="shared" si="30"/>
        <v>5861.4416006723395</v>
      </c>
      <c r="AA110" s="446">
        <f>SUMPRODUCT($F$29:$F$31,$L$16:$L$18)*MIN(Q110/O110,1)*X110</f>
        <v>1187.7952088994127</v>
      </c>
      <c r="AB110" s="28">
        <f t="shared" si="34"/>
        <v>1190.4605772038879</v>
      </c>
      <c r="AC110" s="446">
        <v>0</v>
      </c>
      <c r="AD110" s="446">
        <v>0</v>
      </c>
      <c r="AE110" s="446">
        <v>0</v>
      </c>
      <c r="AF110" s="447">
        <f t="shared" si="20"/>
        <v>17992.13883660701</v>
      </c>
      <c r="AG110" s="452">
        <f t="shared" si="25"/>
        <v>545.09238844076401</v>
      </c>
      <c r="AH110" s="453">
        <f t="shared" si="31"/>
        <v>1.7924966516712928</v>
      </c>
      <c r="AI110" s="104">
        <f t="shared" si="26"/>
        <v>-21.007503348328704</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25.470941506309828</v>
      </c>
      <c r="R111" s="1309">
        <f>(J$15+1-$J$15)*$O$2+25</f>
        <v>65.16326530612244</v>
      </c>
      <c r="S111" s="1309">
        <f>(J$15+M$15+1-$J$15)*$O$2+$E$13+D111*$O$3</f>
        <v>221.71836734693878</v>
      </c>
      <c r="T111" s="1309">
        <v>0</v>
      </c>
      <c r="U111" s="450">
        <f t="shared" si="29"/>
        <v>0.68313140272767525</v>
      </c>
      <c r="V111" s="450">
        <f t="shared" si="22"/>
        <v>0.54964595621766976</v>
      </c>
      <c r="W111" s="450">
        <v>0</v>
      </c>
      <c r="X111" s="451">
        <f t="shared" si="23"/>
        <v>1</v>
      </c>
      <c r="Y111" s="446">
        <f t="shared" si="24"/>
        <v>6884.0763175280226</v>
      </c>
      <c r="Z111" s="446">
        <f t="shared" si="30"/>
        <v>3089.8757405371221</v>
      </c>
      <c r="AA111" s="446">
        <f>SUMPRODUCT($F$30:$F$32,$M$16:$M$18)*MIN(Q111/O111,1)*X111</f>
        <v>1462.7610770493147</v>
      </c>
      <c r="AB111" s="28">
        <f t="shared" si="34"/>
        <v>1190.4605772038879</v>
      </c>
      <c r="AC111" s="446">
        <v>0</v>
      </c>
      <c r="AD111" s="446">
        <v>0</v>
      </c>
      <c r="AE111" s="446">
        <v>0</v>
      </c>
      <c r="AF111" s="447">
        <f t="shared" si="20"/>
        <v>12627.173712318348</v>
      </c>
      <c r="AG111" s="452">
        <f t="shared" si="25"/>
        <v>495.74821210241726</v>
      </c>
      <c r="AH111" s="453">
        <f t="shared" si="31"/>
        <v>-8.0709415063098291</v>
      </c>
      <c r="AI111" s="104">
        <f t="shared" si="26"/>
        <v>-11.470941506309828</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28.036330717374078</v>
      </c>
      <c r="R112" s="1309">
        <f>(K$15+1-$J$15)*$O$2+25</f>
        <v>105.32653061224489</v>
      </c>
      <c r="S112" s="1309">
        <f>(K$15+M$15+1-$J$15)*$O$2+$E$14+D112*$O$3</f>
        <v>256.88163265306122</v>
      </c>
      <c r="T112" s="1309">
        <v>0</v>
      </c>
      <c r="U112" s="450">
        <f t="shared" si="29"/>
        <v>0.77577912100036517</v>
      </c>
      <c r="V112" s="450">
        <f t="shared" si="22"/>
        <v>0.49935207788529251</v>
      </c>
      <c r="W112" s="450">
        <v>0</v>
      </c>
      <c r="X112" s="451">
        <f t="shared" si="23"/>
        <v>1</v>
      </c>
      <c r="Y112" s="446">
        <f t="shared" si="24"/>
        <v>7840.1980282958039</v>
      </c>
      <c r="Z112" s="446">
        <f t="shared" si="30"/>
        <v>3862.3446756714034</v>
      </c>
      <c r="AA112" s="446">
        <f>SUMPRODUCT($F$30:$F$32,$M$16:$M$18)*MIN(Q112/O112,1)*X112</f>
        <v>1462.7610770493147</v>
      </c>
      <c r="AB112" s="28">
        <f t="shared" si="34"/>
        <v>1190.4605772038879</v>
      </c>
      <c r="AC112" s="446">
        <v>0</v>
      </c>
      <c r="AD112" s="446">
        <v>0</v>
      </c>
      <c r="AE112" s="446">
        <v>0</v>
      </c>
      <c r="AF112" s="447">
        <f t="shared" si="20"/>
        <v>14355.764358220411</v>
      </c>
      <c r="AG112" s="452">
        <f t="shared" si="25"/>
        <v>512.0414829934989</v>
      </c>
      <c r="AH112" s="453">
        <f t="shared" si="31"/>
        <v>-6.2863307173740779</v>
      </c>
      <c r="AI112" s="104">
        <f t="shared" si="26"/>
        <v>-14.036330717374078</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30.601719928438342</v>
      </c>
      <c r="R113" s="1309">
        <f>(L$15+1-$J$15)*$O$2+25</f>
        <v>145.48979591836735</v>
      </c>
      <c r="S113" s="1309">
        <f>(L$15+M$15+1-$J$15)*$O$2+$E$15+D113*$O$3</f>
        <v>292.04489795918369</v>
      </c>
      <c r="T113" s="1309">
        <v>0</v>
      </c>
      <c r="U113" s="450">
        <f t="shared" si="29"/>
        <v>0.8528932380609473</v>
      </c>
      <c r="V113" s="450">
        <f t="shared" si="22"/>
        <v>0.45749062577981853</v>
      </c>
      <c r="W113" s="450">
        <v>0</v>
      </c>
      <c r="X113" s="451">
        <f t="shared" si="23"/>
        <v>1</v>
      </c>
      <c r="Y113" s="446">
        <f t="shared" si="24"/>
        <v>8796.3197390635851</v>
      </c>
      <c r="Z113" s="446">
        <f t="shared" si="30"/>
        <v>4634.8136108056833</v>
      </c>
      <c r="AA113" s="446">
        <f>SUMPRODUCT($F$30:$F$32,$M$16:$M$18)*MIN(Q113/O113,1)*X113</f>
        <v>1462.7610770493147</v>
      </c>
      <c r="AB113" s="28">
        <f t="shared" si="34"/>
        <v>1190.4605772038879</v>
      </c>
      <c r="AC113" s="446">
        <v>0</v>
      </c>
      <c r="AD113" s="446">
        <v>0</v>
      </c>
      <c r="AE113" s="446">
        <v>0</v>
      </c>
      <c r="AF113" s="447">
        <f t="shared" si="20"/>
        <v>16084.355004122473</v>
      </c>
      <c r="AG113" s="452">
        <f t="shared" si="25"/>
        <v>525.60297400719617</v>
      </c>
      <c r="AH113" s="453">
        <f t="shared" si="31"/>
        <v>-4.5017199284383445</v>
      </c>
      <c r="AI113" s="104">
        <f t="shared" si="26"/>
        <v>-16.601719928438342</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33.1671091395026</v>
      </c>
      <c r="R114" s="1309">
        <f>(M$15+1-$J$15)*$O$2+25</f>
        <v>185.65306122448979</v>
      </c>
      <c r="S114" s="1309">
        <f>(M$15+M$15+1-$J$15)*$O$2+$E$16+D114*$O$3</f>
        <v>327.2081632653061</v>
      </c>
      <c r="T114" s="1309">
        <v>0</v>
      </c>
      <c r="U114" s="450">
        <f t="shared" si="29"/>
        <v>0.9180782042814073</v>
      </c>
      <c r="V114" s="450">
        <f t="shared" si="22"/>
        <v>0.42210492150869305</v>
      </c>
      <c r="W114" s="450">
        <v>0</v>
      </c>
      <c r="X114" s="451">
        <f t="shared" si="23"/>
        <v>1</v>
      </c>
      <c r="Y114" s="446">
        <f t="shared" si="24"/>
        <v>9752.4414498313654</v>
      </c>
      <c r="Z114" s="446">
        <f t="shared" si="30"/>
        <v>5407.2825459399646</v>
      </c>
      <c r="AA114" s="446">
        <f>SUMPRODUCT($F$30:$F$32,$M$16:$M$18)*MIN(Q114/O114,1)*X114</f>
        <v>1462.7610770493147</v>
      </c>
      <c r="AB114" s="28">
        <f t="shared" si="34"/>
        <v>1190.4605772038879</v>
      </c>
      <c r="AC114" s="446">
        <v>0</v>
      </c>
      <c r="AD114" s="446">
        <v>0</v>
      </c>
      <c r="AE114" s="446">
        <v>0</v>
      </c>
      <c r="AF114" s="447">
        <f t="shared" si="20"/>
        <v>17812.945650024532</v>
      </c>
      <c r="AG114" s="452">
        <f t="shared" si="25"/>
        <v>537.06657324587286</v>
      </c>
      <c r="AH114" s="453">
        <f t="shared" si="31"/>
        <v>-2.7171091395026004</v>
      </c>
      <c r="AI114" s="104">
        <f t="shared" si="26"/>
        <v>-19.1671091395026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35.732498350566871</v>
      </c>
      <c r="R115" s="1309">
        <f>(N$15+1-$J$15)*$O$2+25</f>
        <v>225.81632653061223</v>
      </c>
      <c r="S115" s="1309">
        <f>(N$15+M$15+1-$J$15)*$O$2+$E$17+D115*$O$3</f>
        <v>362.37142857142857</v>
      </c>
      <c r="T115" s="1309">
        <v>0</v>
      </c>
      <c r="U115" s="450">
        <f t="shared" si="29"/>
        <v>0.97390335426819996</v>
      </c>
      <c r="V115" s="450">
        <f t="shared" si="22"/>
        <v>0.39180019999295401</v>
      </c>
      <c r="W115" s="450">
        <v>0</v>
      </c>
      <c r="X115" s="451">
        <f t="shared" si="23"/>
        <v>1</v>
      </c>
      <c r="Y115" s="446">
        <f t="shared" si="24"/>
        <v>10708.563160599149</v>
      </c>
      <c r="Z115" s="446">
        <f t="shared" si="30"/>
        <v>6179.7514810742441</v>
      </c>
      <c r="AA115" s="446">
        <f>SUMPRODUCT($F$30:$F$32,$M$16:$M$18)*MIN(Q115/O115,1)*X115</f>
        <v>1462.7610770493147</v>
      </c>
      <c r="AB115" s="28">
        <f t="shared" si="34"/>
        <v>1190.4605772038879</v>
      </c>
      <c r="AC115" s="446">
        <v>0</v>
      </c>
      <c r="AD115" s="446">
        <v>0</v>
      </c>
      <c r="AE115" s="446">
        <v>0</v>
      </c>
      <c r="AF115" s="447">
        <f t="shared" si="20"/>
        <v>19541.536295926599</v>
      </c>
      <c r="AG115" s="452">
        <f t="shared" si="25"/>
        <v>546.88413063668656</v>
      </c>
      <c r="AH115" s="453">
        <f t="shared" si="31"/>
        <v>-0.93249835056687402</v>
      </c>
      <c r="AI115" s="104">
        <f t="shared" si="26"/>
        <v>-21.732498350566871</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28.307800622608106</v>
      </c>
      <c r="R116" s="1309">
        <f>(J$15+1-$J$15)*$O$2+25</f>
        <v>65.16326530612244</v>
      </c>
      <c r="S116" s="1309">
        <f>(J$15+N$15+1-$J$15)*$O$2+$E$13+D116*$O$3</f>
        <v>261.88163265306122</v>
      </c>
      <c r="T116" s="1309">
        <v>0</v>
      </c>
      <c r="U116" s="159">
        <f t="shared" si="29"/>
        <v>0.61467156109978527</v>
      </c>
      <c r="V116" s="159">
        <f t="shared" si="22"/>
        <v>0.56521522859750373</v>
      </c>
      <c r="W116" s="450">
        <v>0</v>
      </c>
      <c r="X116" s="461">
        <f t="shared" si="23"/>
        <v>1</v>
      </c>
      <c r="Y116" s="106">
        <f t="shared" si="24"/>
        <v>7840.1980282958057</v>
      </c>
      <c r="Z116" s="106">
        <f t="shared" si="30"/>
        <v>3089.8757405371221</v>
      </c>
      <c r="AA116" s="106">
        <f>SUMPRODUCT($F$31:$F$33,$N$16:$N$18)*MIN(Q116/O116,1)*X116</f>
        <v>1759.726945199217</v>
      </c>
      <c r="AB116" s="28">
        <f t="shared" si="34"/>
        <v>1190.4605772038879</v>
      </c>
      <c r="AC116" s="446">
        <v>0</v>
      </c>
      <c r="AD116" s="446">
        <v>0</v>
      </c>
      <c r="AE116" s="446">
        <v>0</v>
      </c>
      <c r="AF116" s="458">
        <f t="shared" si="20"/>
        <v>13880.261291236035</v>
      </c>
      <c r="AG116" s="452">
        <f t="shared" si="25"/>
        <v>490.33344116994112</v>
      </c>
      <c r="AH116" s="462">
        <f t="shared" si="31"/>
        <v>-10.907800622608107</v>
      </c>
      <c r="AI116" s="105">
        <f t="shared" si="26"/>
        <v>-12.307800622608106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30.873189833672363</v>
      </c>
      <c r="R117" s="1309">
        <f>(K$15+1-$J$15)*$O$2+25</f>
        <v>105.32653061224489</v>
      </c>
      <c r="S117" s="1309">
        <f>(K$15+N$15+1-$J$15)*$O$2+$E$14+D117*$O$3</f>
        <v>297.04489795918369</v>
      </c>
      <c r="T117" s="1309">
        <v>0</v>
      </c>
      <c r="U117" s="159">
        <f t="shared" si="29"/>
        <v>0.70449474502560139</v>
      </c>
      <c r="V117" s="159">
        <f t="shared" si="22"/>
        <v>0.51824900783492511</v>
      </c>
      <c r="W117" s="450">
        <v>0</v>
      </c>
      <c r="X117" s="461">
        <f t="shared" si="23"/>
        <v>1</v>
      </c>
      <c r="Y117" s="106">
        <f t="shared" si="24"/>
        <v>8796.3197390635869</v>
      </c>
      <c r="Z117" s="106">
        <f t="shared" si="30"/>
        <v>3862.3446756714034</v>
      </c>
      <c r="AA117" s="106">
        <f>SUMPRODUCT($F$31:$F$33,$N$16:$N$18)*MIN(Q117/O117,1)*X117</f>
        <v>1759.726945199217</v>
      </c>
      <c r="AB117" s="28">
        <f t="shared" si="34"/>
        <v>1190.4605772038879</v>
      </c>
      <c r="AC117" s="446">
        <v>0</v>
      </c>
      <c r="AD117" s="446">
        <v>0</v>
      </c>
      <c r="AE117" s="446">
        <v>0</v>
      </c>
      <c r="AF117" s="458">
        <f t="shared" si="20"/>
        <v>15608.851937138097</v>
      </c>
      <c r="AG117" s="452">
        <f t="shared" si="25"/>
        <v>505.57950186650424</v>
      </c>
      <c r="AH117" s="462">
        <f t="shared" si="31"/>
        <v>-9.1231898336723631</v>
      </c>
      <c r="AI117" s="105">
        <f t="shared" si="26"/>
        <v>-14.873189833672363</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33.438579044736628</v>
      </c>
      <c r="R118" s="1309">
        <f>(L$15+1-$J$15)*$O$2+25</f>
        <v>145.48979591836735</v>
      </c>
      <c r="S118" s="1309">
        <f>(L$15+N$15+1-$J$15)*$O$2+$E$15+D118*$O$3</f>
        <v>332.2081632653061</v>
      </c>
      <c r="T118" s="1309">
        <v>0</v>
      </c>
      <c r="U118" s="159">
        <f t="shared" si="29"/>
        <v>0.78053555939328256</v>
      </c>
      <c r="V118" s="159">
        <f t="shared" si="22"/>
        <v>0.478489231811974</v>
      </c>
      <c r="W118" s="450">
        <v>0</v>
      </c>
      <c r="X118" s="461">
        <f t="shared" si="23"/>
        <v>1</v>
      </c>
      <c r="Y118" s="106">
        <f t="shared" si="24"/>
        <v>9752.4414498313672</v>
      </c>
      <c r="Z118" s="106">
        <f t="shared" si="30"/>
        <v>4634.8136108056833</v>
      </c>
      <c r="AA118" s="106">
        <f>SUMPRODUCT($F$31:$F$33,$N$16:$N$18)*MIN(Q118/O118,1)*X118</f>
        <v>1759.726945199217</v>
      </c>
      <c r="AB118" s="28">
        <f t="shared" si="34"/>
        <v>1190.4605772038879</v>
      </c>
      <c r="AC118" s="446">
        <v>0</v>
      </c>
      <c r="AD118" s="446">
        <v>0</v>
      </c>
      <c r="AE118" s="446">
        <v>0</v>
      </c>
      <c r="AF118" s="458">
        <f t="shared" si="20"/>
        <v>17337.442583040156</v>
      </c>
      <c r="AG118" s="452">
        <f t="shared" si="25"/>
        <v>518.48622394644315</v>
      </c>
      <c r="AH118" s="462">
        <f t="shared" si="31"/>
        <v>-7.3385790447366297</v>
      </c>
      <c r="AI118" s="105">
        <f t="shared" si="26"/>
        <v>-17.438579044736628</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36.003968255800885</v>
      </c>
      <c r="R119" s="1309">
        <f>(M$15+1-$J$15)*$O$2+25</f>
        <v>185.65306122448979</v>
      </c>
      <c r="S119" s="1309">
        <f>(M$15+N$15+1-$J$15)*$O$2+$E$16+D119*$O$3</f>
        <v>367.37142857142857</v>
      </c>
      <c r="T119" s="1309">
        <v>0</v>
      </c>
      <c r="U119" s="159">
        <f t="shared" si="29"/>
        <v>0.84574010796973631</v>
      </c>
      <c r="V119" s="159">
        <f t="shared" si="22"/>
        <v>0.44439545903171696</v>
      </c>
      <c r="W119" s="450">
        <v>0</v>
      </c>
      <c r="X119" s="461">
        <f t="shared" si="23"/>
        <v>1</v>
      </c>
      <c r="Y119" s="106">
        <f t="shared" si="24"/>
        <v>10708.563160599149</v>
      </c>
      <c r="Z119" s="106">
        <f t="shared" si="30"/>
        <v>5407.2825459399646</v>
      </c>
      <c r="AA119" s="106">
        <f>SUMPRODUCT($F$31:$F$33,$N$16:$N$18)*MIN(Q119/O119,1)*X119</f>
        <v>1759.726945199217</v>
      </c>
      <c r="AB119" s="28">
        <f t="shared" si="34"/>
        <v>1190.4605772038879</v>
      </c>
      <c r="AC119" s="446">
        <v>0</v>
      </c>
      <c r="AD119" s="446">
        <v>0</v>
      </c>
      <c r="AE119" s="446">
        <v>0</v>
      </c>
      <c r="AF119" s="458">
        <f t="shared" si="20"/>
        <v>19066.033228942219</v>
      </c>
      <c r="AG119" s="452">
        <f t="shared" si="25"/>
        <v>529.55366179310909</v>
      </c>
      <c r="AH119" s="462">
        <f t="shared" si="31"/>
        <v>-5.5539682558008856</v>
      </c>
      <c r="AI119" s="105">
        <f t="shared" si="26"/>
        <v>-20.003968255800885</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38.569357466865142</v>
      </c>
      <c r="R120" s="1309">
        <f>(N$15+1-$J$15)*$O$2+25</f>
        <v>225.81632653061223</v>
      </c>
      <c r="S120" s="1309">
        <f>(N$15+N$15+1-$J$15)*$O$2+$E$17+D120*$O$3</f>
        <v>402.53469387755104</v>
      </c>
      <c r="T120" s="1309">
        <v>0</v>
      </c>
      <c r="U120" s="159">
        <f t="shared" si="29"/>
        <v>0.9022706699196793</v>
      </c>
      <c r="V120" s="159">
        <f t="shared" ref="V120:V150" si="37">IF(O120&gt;0,MIN(1,O120/Q120),0)</f>
        <v>0.41483708961824339</v>
      </c>
      <c r="W120" s="450">
        <v>0</v>
      </c>
      <c r="X120" s="461">
        <f t="shared" ref="X120:X150" si="38">MIN(1,H120*10/Q120)*fw+(1-(MIN(1,H120*10/Q120)))*1</f>
        <v>1</v>
      </c>
      <c r="Y120" s="106">
        <f t="shared" ref="Y120:Y150" si="39">(I120*avginst)*X120*$K$4</f>
        <v>11664.68487136693</v>
      </c>
      <c r="Z120" s="106">
        <f t="shared" si="30"/>
        <v>6179.7514810742441</v>
      </c>
      <c r="AA120" s="106">
        <f>SUMPRODUCT($F$31:$F$33,$N$16:$N$18)*MIN(Q120/O120,1)*X120</f>
        <v>1759.726945199217</v>
      </c>
      <c r="AB120" s="28">
        <f t="shared" si="34"/>
        <v>1190.4605772038879</v>
      </c>
      <c r="AC120" s="446">
        <v>0</v>
      </c>
      <c r="AD120" s="446">
        <v>0</v>
      </c>
      <c r="AE120" s="446">
        <v>0</v>
      </c>
      <c r="AF120" s="458">
        <f t="shared" si="20"/>
        <v>20794.623874844281</v>
      </c>
      <c r="AG120" s="452">
        <f t="shared" ref="AG120:AG150" si="40">IF(AND(forceea,W120=0),0,IF(time=0, AF120/Q120, IF(time&lt;Q120, 0, AF120/Q120))*AQ120)</f>
        <v>539.14882799665259</v>
      </c>
      <c r="AH120" s="462">
        <f t="shared" si="31"/>
        <v>-3.7693574668651451</v>
      </c>
      <c r="AI120" s="105">
        <f t="shared" ref="AI120:AI150" si="41">O120-$Q120</f>
        <v>-22.569357466865142</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25.470941506309828</v>
      </c>
      <c r="R121" s="1309">
        <f>(J$15+1-$J$15)*$O$2+25</f>
        <v>65.16326530612244</v>
      </c>
      <c r="S121" s="1309">
        <f>(J$15+L$15+1-$J$15)*$O$2+$E$13+D121*$O$3</f>
        <v>181.55510204081631</v>
      </c>
      <c r="T121" s="1309">
        <v>0</v>
      </c>
      <c r="U121" s="450">
        <f t="shared" si="29"/>
        <v>0.68313140272767525</v>
      </c>
      <c r="V121" s="450">
        <f t="shared" si="37"/>
        <v>0.47112510532943125</v>
      </c>
      <c r="W121" s="450">
        <v>0</v>
      </c>
      <c r="X121" s="451">
        <f t="shared" si="38"/>
        <v>1</v>
      </c>
      <c r="Y121" s="446">
        <f t="shared" si="39"/>
        <v>6884.0763175280226</v>
      </c>
      <c r="Z121" s="446">
        <f t="shared" si="30"/>
        <v>3089.8757405371221</v>
      </c>
      <c r="AA121" s="446">
        <f>SUMPRODUCT($F$29:$F$31,$L$16:$L$18)*MIN(Q121/O121,1)*X121</f>
        <v>1187.7952088994127</v>
      </c>
      <c r="AB121">
        <f t="shared" ref="AB121:AB135" si="43">SUMPRODUCT($F$24:$F$26,$N$16:$N$18)*X121</f>
        <v>1459.271084457818</v>
      </c>
      <c r="AC121" s="446">
        <v>0</v>
      </c>
      <c r="AD121" s="446">
        <v>0</v>
      </c>
      <c r="AE121" s="446">
        <v>0</v>
      </c>
      <c r="AF121" s="447">
        <f t="shared" si="20"/>
        <v>12621.018351422375</v>
      </c>
      <c r="AG121" s="452">
        <f t="shared" si="40"/>
        <v>495.50655001487928</v>
      </c>
      <c r="AH121" s="453">
        <f t="shared" si="31"/>
        <v>-8.0709415063098291</v>
      </c>
      <c r="AI121" s="104">
        <f t="shared" si="41"/>
        <v>-13.470941506309828</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28.036330717374078</v>
      </c>
      <c r="R122" s="1309">
        <f>(K$15+1-$J$15)*$O$2+25</f>
        <v>105.32653061224489</v>
      </c>
      <c r="S122" s="1309">
        <f>(K$15+L$15+1-$J$15)*$O$2+$E$14+D122*$O$3</f>
        <v>216.71836734693878</v>
      </c>
      <c r="T122" s="1309">
        <v>0</v>
      </c>
      <c r="U122" s="450">
        <f t="shared" si="29"/>
        <v>0.77577912100036517</v>
      </c>
      <c r="V122" s="450">
        <f t="shared" si="37"/>
        <v>0.42801606675882214</v>
      </c>
      <c r="W122" s="450">
        <v>0</v>
      </c>
      <c r="X122" s="451">
        <f t="shared" si="38"/>
        <v>1</v>
      </c>
      <c r="Y122" s="446">
        <f t="shared" si="39"/>
        <v>7840.1980282958039</v>
      </c>
      <c r="Z122" s="446">
        <f t="shared" si="30"/>
        <v>3862.3446756714034</v>
      </c>
      <c r="AA122" s="446">
        <f>SUMPRODUCT($F$29:$F$31,$L$16:$L$18)*MIN(Q122/O122,1)*X122</f>
        <v>1187.7952088994127</v>
      </c>
      <c r="AB122">
        <f t="shared" si="43"/>
        <v>1459.271084457818</v>
      </c>
      <c r="AC122" s="446">
        <v>0</v>
      </c>
      <c r="AD122" s="446">
        <v>0</v>
      </c>
      <c r="AE122" s="446">
        <v>0</v>
      </c>
      <c r="AF122" s="447">
        <f t="shared" si="20"/>
        <v>14349.608997324438</v>
      </c>
      <c r="AG122" s="452">
        <f t="shared" si="40"/>
        <v>511.82193354681766</v>
      </c>
      <c r="AH122" s="453">
        <f t="shared" si="31"/>
        <v>-6.2863307173740779</v>
      </c>
      <c r="AI122" s="104">
        <f t="shared" si="41"/>
        <v>-16.036330717374078</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30.601719928438342</v>
      </c>
      <c r="R123" s="1309">
        <f>(L$15+1-$J$15)*$O$2+25</f>
        <v>145.48979591836735</v>
      </c>
      <c r="S123" s="1309">
        <f>(L$15+L$15+1-$J$15)*$O$2+$E$15+D123*$O$3</f>
        <v>251.88163265306122</v>
      </c>
      <c r="T123" s="1309">
        <v>0</v>
      </c>
      <c r="U123" s="450">
        <f t="shared" si="29"/>
        <v>0.8528932380609473</v>
      </c>
      <c r="V123" s="450">
        <f t="shared" si="37"/>
        <v>0.3921348220969873</v>
      </c>
      <c r="W123" s="450">
        <v>0</v>
      </c>
      <c r="X123" s="451">
        <f t="shared" si="38"/>
        <v>1</v>
      </c>
      <c r="Y123" s="446">
        <f t="shared" si="39"/>
        <v>8796.3197390635851</v>
      </c>
      <c r="Z123" s="446">
        <f t="shared" si="30"/>
        <v>4634.8136108056833</v>
      </c>
      <c r="AA123" s="446">
        <f>SUMPRODUCT($F$29:$F$31,$L$16:$L$18)*MIN(Q123/O123,1)*X123</f>
        <v>1187.7952088994127</v>
      </c>
      <c r="AB123">
        <f t="shared" si="43"/>
        <v>1459.271084457818</v>
      </c>
      <c r="AC123" s="446">
        <v>0</v>
      </c>
      <c r="AD123" s="446">
        <v>0</v>
      </c>
      <c r="AE123" s="446">
        <v>0</v>
      </c>
      <c r="AF123" s="447">
        <f t="shared" si="20"/>
        <v>16078.1996432265</v>
      </c>
      <c r="AG123" s="452">
        <f t="shared" si="40"/>
        <v>525.40182972803905</v>
      </c>
      <c r="AH123" s="453">
        <f t="shared" si="31"/>
        <v>-4.5017199284383445</v>
      </c>
      <c r="AI123" s="104">
        <f t="shared" si="41"/>
        <v>-18.601719928438342</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33.1671091395026</v>
      </c>
      <c r="R124" s="1309">
        <f>(M$15+1-$J$15)*$O$2+25</f>
        <v>185.65306122448979</v>
      </c>
      <c r="S124" s="1309">
        <f>(M$15+L$15+1-$J$15)*$O$2+$E$16+D124*$O$3</f>
        <v>287.04489795918369</v>
      </c>
      <c r="T124" s="1309">
        <v>0</v>
      </c>
      <c r="U124" s="450">
        <f t="shared" si="29"/>
        <v>0.9180782042814073</v>
      </c>
      <c r="V124" s="450">
        <f t="shared" si="37"/>
        <v>0.36180421843602262</v>
      </c>
      <c r="W124" s="450">
        <v>0</v>
      </c>
      <c r="X124" s="451">
        <f t="shared" si="38"/>
        <v>1</v>
      </c>
      <c r="Y124" s="446">
        <f t="shared" si="39"/>
        <v>9752.4414498313654</v>
      </c>
      <c r="Z124" s="446">
        <f t="shared" si="30"/>
        <v>5407.2825459399646</v>
      </c>
      <c r="AA124" s="446">
        <f>SUMPRODUCT($F$29:$F$31,$L$16:$L$18)*MIN(Q124/O124,1)*X124</f>
        <v>1187.7952088994127</v>
      </c>
      <c r="AB124">
        <f t="shared" si="43"/>
        <v>1459.271084457818</v>
      </c>
      <c r="AC124" s="446">
        <v>0</v>
      </c>
      <c r="AD124" s="446">
        <v>0</v>
      </c>
      <c r="AE124" s="446">
        <v>0</v>
      </c>
      <c r="AF124" s="447">
        <f t="shared" si="20"/>
        <v>17806.790289128563</v>
      </c>
      <c r="AG124" s="452">
        <f t="shared" si="40"/>
        <v>536.88098695102633</v>
      </c>
      <c r="AH124" s="453">
        <f t="shared" si="31"/>
        <v>-2.7171091395026004</v>
      </c>
      <c r="AI124" s="104">
        <f t="shared" si="41"/>
        <v>-21.1671091395026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35.732498350566871</v>
      </c>
      <c r="R125" s="1309">
        <f>(N$15+1-$J$15)*$O$2+25</f>
        <v>225.81632653061223</v>
      </c>
      <c r="S125" s="1309">
        <f>(N$15+L$15+1-$J$15)*$O$2+$E$17+D125*$O$3</f>
        <v>322.2081632653061</v>
      </c>
      <c r="T125" s="1309">
        <v>0</v>
      </c>
      <c r="U125" s="450">
        <f t="shared" ref="U125:U150" si="45">IF(N125&gt;0,MIN(1,N125/Q125),0)</f>
        <v>0.97390335426819996</v>
      </c>
      <c r="V125" s="450">
        <f t="shared" si="37"/>
        <v>0.33582874285110342</v>
      </c>
      <c r="W125" s="450">
        <v>0</v>
      </c>
      <c r="X125" s="451">
        <f t="shared" si="38"/>
        <v>1</v>
      </c>
      <c r="Y125" s="446">
        <f t="shared" si="39"/>
        <v>10708.563160599149</v>
      </c>
      <c r="Z125" s="446">
        <f t="shared" ref="Z125:Z150" si="46">Q125*U125*$O$6*(sndfact-1)*$K$4</f>
        <v>6179.7514810742441</v>
      </c>
      <c r="AA125" s="446">
        <f>SUMPRODUCT($F$29:$F$31,$L$16:$L$18)*MIN(Q125/O125,1)*X125</f>
        <v>1187.7952088994127</v>
      </c>
      <c r="AB125">
        <f t="shared" si="43"/>
        <v>1459.271084457818</v>
      </c>
      <c r="AC125" s="446">
        <v>0</v>
      </c>
      <c r="AD125" s="446">
        <v>0</v>
      </c>
      <c r="AE125" s="446">
        <v>0</v>
      </c>
      <c r="AF125" s="447">
        <f t="shared" si="20"/>
        <v>19535.380935030626</v>
      </c>
      <c r="AG125" s="452">
        <f t="shared" si="40"/>
        <v>546.71186837739572</v>
      </c>
      <c r="AH125" s="453">
        <f t="shared" ref="AH125:AH150" si="47">N125-$Q125</f>
        <v>-0.93249835056687402</v>
      </c>
      <c r="AI125" s="104">
        <f t="shared" si="41"/>
        <v>-23.732498350566871</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28.307800622608099</v>
      </c>
      <c r="R126" s="1309">
        <f>(J$15+1-$J$15)*$O$2+25</f>
        <v>65.16326530612244</v>
      </c>
      <c r="S126" s="1309">
        <f>(J$15+M$15+1-$J$15)*$O$2+$E$13+D126*$O$3</f>
        <v>221.71836734693878</v>
      </c>
      <c r="T126" s="1309">
        <v>0</v>
      </c>
      <c r="U126" s="450">
        <f t="shared" si="45"/>
        <v>0.61467156109978549</v>
      </c>
      <c r="V126" s="450">
        <f t="shared" si="37"/>
        <v>0.49456332502281591</v>
      </c>
      <c r="W126" s="450">
        <v>0</v>
      </c>
      <c r="X126" s="451">
        <f t="shared" si="38"/>
        <v>1</v>
      </c>
      <c r="Y126" s="446">
        <f t="shared" si="39"/>
        <v>7840.1980282958039</v>
      </c>
      <c r="Z126" s="446">
        <f t="shared" si="46"/>
        <v>3089.8757405371221</v>
      </c>
      <c r="AA126" s="446">
        <f>SUMPRODUCT($F$30:$F$32,$M$16:$M$18)*MIN(Q126/O126,1)*X126</f>
        <v>1462.7610770493147</v>
      </c>
      <c r="AB126">
        <f t="shared" si="43"/>
        <v>1459.271084457818</v>
      </c>
      <c r="AC126" s="446">
        <v>0</v>
      </c>
      <c r="AD126" s="446">
        <v>0</v>
      </c>
      <c r="AE126" s="446">
        <v>0</v>
      </c>
      <c r="AF126" s="447">
        <f t="shared" si="20"/>
        <v>13852.105930340058</v>
      </c>
      <c r="AG126" s="452">
        <f t="shared" si="40"/>
        <v>489.33882624837469</v>
      </c>
      <c r="AH126" s="453">
        <f t="shared" si="47"/>
        <v>-10.9078006226081</v>
      </c>
      <c r="AI126" s="104">
        <f t="shared" si="41"/>
        <v>-14.307800622608099</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30.873189833672356</v>
      </c>
      <c r="R127" s="1309">
        <f>(K$15+1-$J$15)*$O$2+25</f>
        <v>105.32653061224489</v>
      </c>
      <c r="S127" s="1309">
        <f>(K$15+M$15+1-$J$15)*$O$2+$E$14+D127*$O$3</f>
        <v>256.88163265306122</v>
      </c>
      <c r="T127" s="1309">
        <v>0</v>
      </c>
      <c r="U127" s="450">
        <f t="shared" si="45"/>
        <v>0.7044947450256015</v>
      </c>
      <c r="V127" s="450">
        <f t="shared" si="37"/>
        <v>0.45346788185555958</v>
      </c>
      <c r="W127" s="450">
        <v>0</v>
      </c>
      <c r="X127" s="451">
        <f t="shared" si="38"/>
        <v>1</v>
      </c>
      <c r="Y127" s="446">
        <f t="shared" si="39"/>
        <v>8796.3197390635851</v>
      </c>
      <c r="Z127" s="446">
        <f t="shared" si="46"/>
        <v>3862.3446756714034</v>
      </c>
      <c r="AA127" s="446">
        <f>SUMPRODUCT($F$30:$F$32,$M$16:$M$18)*MIN(Q127/O127,1)*X127</f>
        <v>1462.7610770493147</v>
      </c>
      <c r="AB127">
        <f t="shared" si="43"/>
        <v>1459.271084457818</v>
      </c>
      <c r="AC127" s="446">
        <v>0</v>
      </c>
      <c r="AD127" s="446">
        <v>0</v>
      </c>
      <c r="AE127" s="446">
        <v>0</v>
      </c>
      <c r="AF127" s="447">
        <f t="shared" si="20"/>
        <v>15580.69657624212</v>
      </c>
      <c r="AG127" s="452">
        <f t="shared" si="40"/>
        <v>504.66753387590597</v>
      </c>
      <c r="AH127" s="453">
        <f t="shared" si="47"/>
        <v>-9.123189833672356</v>
      </c>
      <c r="AI127" s="104">
        <f t="shared" si="41"/>
        <v>-16.873189833672356</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33.438579044736613</v>
      </c>
      <c r="R128" s="1309">
        <f>(L$15+1-$J$15)*$O$2+25</f>
        <v>145.48979591836735</v>
      </c>
      <c r="S128" s="1309">
        <f>(L$15+M$15+1-$J$15)*$O$2+$E$15+D128*$O$3</f>
        <v>292.04489795918369</v>
      </c>
      <c r="T128" s="1309">
        <v>0</v>
      </c>
      <c r="U128" s="450">
        <f t="shared" si="45"/>
        <v>0.7805355593932829</v>
      </c>
      <c r="V128" s="450">
        <f t="shared" si="37"/>
        <v>0.41867807783547745</v>
      </c>
      <c r="W128" s="450">
        <v>0</v>
      </c>
      <c r="X128" s="451">
        <f t="shared" si="38"/>
        <v>1</v>
      </c>
      <c r="Y128" s="446">
        <f t="shared" si="39"/>
        <v>9752.4414498313654</v>
      </c>
      <c r="Z128" s="446">
        <f t="shared" si="46"/>
        <v>4634.8136108056833</v>
      </c>
      <c r="AA128" s="446">
        <f>SUMPRODUCT($F$30:$F$32,$M$16:$M$18)*MIN(Q128/O128,1)*X128</f>
        <v>1462.7610770493147</v>
      </c>
      <c r="AB128">
        <f t="shared" si="43"/>
        <v>1459.271084457818</v>
      </c>
      <c r="AC128" s="446">
        <v>0</v>
      </c>
      <c r="AD128" s="446">
        <v>0</v>
      </c>
      <c r="AE128" s="446">
        <v>0</v>
      </c>
      <c r="AF128" s="447">
        <f t="shared" si="20"/>
        <v>17309.287222144183</v>
      </c>
      <c r="AG128" s="452">
        <f t="shared" si="40"/>
        <v>517.64422163353697</v>
      </c>
      <c r="AH128" s="453">
        <f t="shared" si="47"/>
        <v>-7.3385790447366155</v>
      </c>
      <c r="AI128" s="104">
        <f t="shared" si="41"/>
        <v>-19.438579044736613</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36.003968255800878</v>
      </c>
      <c r="R129" s="1309">
        <f>(M$15+1-$J$15)*$O$2+25</f>
        <v>185.65306122448979</v>
      </c>
      <c r="S129" s="1309">
        <f>(M$15+M$15+1-$J$15)*$O$2+$E$16+D129*$O$3</f>
        <v>327.2081632653061</v>
      </c>
      <c r="T129" s="1309">
        <v>0</v>
      </c>
      <c r="U129" s="450">
        <f t="shared" si="45"/>
        <v>0.84574010796973653</v>
      </c>
      <c r="V129" s="450">
        <f t="shared" si="37"/>
        <v>0.38884602665275242</v>
      </c>
      <c r="W129" s="450">
        <v>0</v>
      </c>
      <c r="X129" s="451">
        <f t="shared" si="38"/>
        <v>1</v>
      </c>
      <c r="Y129" s="446">
        <f t="shared" si="39"/>
        <v>10708.563160599146</v>
      </c>
      <c r="Z129" s="446">
        <f t="shared" si="46"/>
        <v>5407.2825459399646</v>
      </c>
      <c r="AA129" s="446">
        <f>SUMPRODUCT($F$30:$F$32,$M$16:$M$18)*MIN(Q129/O129,1)*X129</f>
        <v>1462.7610770493147</v>
      </c>
      <c r="AB129">
        <f t="shared" si="43"/>
        <v>1459.271084457818</v>
      </c>
      <c r="AC129" s="446">
        <v>0</v>
      </c>
      <c r="AD129" s="446">
        <v>0</v>
      </c>
      <c r="AE129" s="446">
        <v>0</v>
      </c>
      <c r="AF129" s="447">
        <f t="shared" si="20"/>
        <v>19037.877868046242</v>
      </c>
      <c r="AG129" s="452">
        <f t="shared" si="40"/>
        <v>528.77165463501103</v>
      </c>
      <c r="AH129" s="453">
        <f t="shared" si="47"/>
        <v>-5.5539682558008785</v>
      </c>
      <c r="AI129" s="104">
        <f t="shared" si="41"/>
        <v>-22.003968255800878</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38.569357466865142</v>
      </c>
      <c r="R130" s="1309">
        <f>(N$15+1-$J$15)*$O$2+25</f>
        <v>225.81632653061223</v>
      </c>
      <c r="S130" s="1309">
        <f>(N$15+M$15+1-$J$15)*$O$2+$E$17+D130*$O$3</f>
        <v>362.37142857142857</v>
      </c>
      <c r="T130" s="1309">
        <v>0</v>
      </c>
      <c r="U130" s="450">
        <f t="shared" si="45"/>
        <v>0.9022706699196793</v>
      </c>
      <c r="V130" s="450">
        <f t="shared" si="37"/>
        <v>0.36298245341596297</v>
      </c>
      <c r="W130" s="450">
        <v>0</v>
      </c>
      <c r="X130" s="451">
        <f t="shared" si="38"/>
        <v>1</v>
      </c>
      <c r="Y130" s="446">
        <f t="shared" si="39"/>
        <v>11664.68487136693</v>
      </c>
      <c r="Z130" s="446">
        <f t="shared" si="46"/>
        <v>6179.7514810742441</v>
      </c>
      <c r="AA130" s="446">
        <f>SUMPRODUCT($F$30:$F$32,$M$16:$M$18)*MIN(Q130/O130,1)*X130</f>
        <v>1462.7610770493147</v>
      </c>
      <c r="AB130">
        <f t="shared" si="43"/>
        <v>1459.271084457818</v>
      </c>
      <c r="AC130" s="446">
        <v>0</v>
      </c>
      <c r="AD130" s="446">
        <v>0</v>
      </c>
      <c r="AE130" s="446">
        <v>0</v>
      </c>
      <c r="AF130" s="447">
        <f t="shared" si="20"/>
        <v>20766.468513948308</v>
      </c>
      <c r="AG130" s="452">
        <f t="shared" si="40"/>
        <v>538.41883499845028</v>
      </c>
      <c r="AH130" s="453">
        <f t="shared" si="47"/>
        <v>-3.7693574668651451</v>
      </c>
      <c r="AI130" s="104">
        <f t="shared" si="41"/>
        <v>-24.569357466865142</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31.144659738906377</v>
      </c>
      <c r="R131" s="1309">
        <f>(J$15+1-$J$15)*$O$2+25</f>
        <v>65.16326530612244</v>
      </c>
      <c r="S131" s="1309">
        <f>(J$15+N$15+1-$J$15)*$O$2+$E$13+D131*$O$3</f>
        <v>261.88163265306122</v>
      </c>
      <c r="T131" s="1309">
        <v>0</v>
      </c>
      <c r="U131" s="450">
        <f t="shared" si="45"/>
        <v>0.55868325889152859</v>
      </c>
      <c r="V131" s="450">
        <f t="shared" si="37"/>
        <v>0.51373173231404934</v>
      </c>
      <c r="W131" s="450">
        <v>0</v>
      </c>
      <c r="X131" s="451">
        <f t="shared" si="38"/>
        <v>1</v>
      </c>
      <c r="Y131" s="446">
        <f t="shared" si="39"/>
        <v>8796.3197390635869</v>
      </c>
      <c r="Z131" s="446">
        <f t="shared" si="46"/>
        <v>3089.8757405371221</v>
      </c>
      <c r="AA131" s="446">
        <f>SUMPRODUCT($F$31:$F$33,$N$16:$N$18)*MIN(Q131/O131,1)*X131</f>
        <v>1759.726945199217</v>
      </c>
      <c r="AB131">
        <f t="shared" si="43"/>
        <v>1459.271084457818</v>
      </c>
      <c r="AC131" s="446">
        <v>0</v>
      </c>
      <c r="AD131" s="446">
        <v>0</v>
      </c>
      <c r="AE131" s="446">
        <v>0</v>
      </c>
      <c r="AF131" s="447">
        <f t="shared" si="20"/>
        <v>15105.193509257744</v>
      </c>
      <c r="AG131" s="452">
        <f t="shared" si="40"/>
        <v>485.00107677811968</v>
      </c>
      <c r="AH131" s="453">
        <f t="shared" si="47"/>
        <v>-13.744659738906378</v>
      </c>
      <c r="AI131" s="104">
        <f t="shared" si="41"/>
        <v>-15.144659738906377</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33.710048949970641</v>
      </c>
      <c r="R132" s="1309">
        <f>(K$15+1-$J$15)*$O$2+25</f>
        <v>105.32653061224489</v>
      </c>
      <c r="S132" s="1309">
        <f>(K$15+N$15+1-$J$15)*$O$2+$E$14+D132*$O$3</f>
        <v>297.04489795918369</v>
      </c>
      <c r="T132" s="1309">
        <v>0</v>
      </c>
      <c r="U132" s="450">
        <f t="shared" si="45"/>
        <v>0.64520819985397682</v>
      </c>
      <c r="V132" s="450">
        <f t="shared" si="37"/>
        <v>0.47463591713395997</v>
      </c>
      <c r="W132" s="450">
        <v>0</v>
      </c>
      <c r="X132" s="451">
        <f t="shared" si="38"/>
        <v>1</v>
      </c>
      <c r="Y132" s="446">
        <f t="shared" si="39"/>
        <v>9752.4414498313672</v>
      </c>
      <c r="Z132" s="446">
        <f t="shared" si="46"/>
        <v>3862.3446756714034</v>
      </c>
      <c r="AA132" s="446">
        <f>SUMPRODUCT($F$31:$F$33,$N$16:$N$18)*MIN(Q132/O132,1)*X132</f>
        <v>1759.726945199217</v>
      </c>
      <c r="AB132">
        <f t="shared" si="43"/>
        <v>1459.271084457818</v>
      </c>
      <c r="AC132" s="446">
        <v>0</v>
      </c>
      <c r="AD132" s="446">
        <v>0</v>
      </c>
      <c r="AE132" s="446">
        <v>0</v>
      </c>
      <c r="AF132" s="447">
        <f t="shared" si="20"/>
        <v>16833.784155159807</v>
      </c>
      <c r="AG132" s="452">
        <f t="shared" si="40"/>
        <v>499.36991133246244</v>
      </c>
      <c r="AH132" s="453">
        <f t="shared" si="47"/>
        <v>-11.960048949970641</v>
      </c>
      <c r="AI132" s="104">
        <f t="shared" si="41"/>
        <v>-17.710048949970641</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36.275438161034899</v>
      </c>
      <c r="R133" s="1309">
        <f>(L$15+1-$J$15)*$O$2+25</f>
        <v>145.48979591836735</v>
      </c>
      <c r="S133" s="1309">
        <f>(L$15+N$15+1-$J$15)*$O$2+$E$15+D133*$O$3</f>
        <v>332.2081632653061</v>
      </c>
      <c r="T133" s="1309">
        <v>0</v>
      </c>
      <c r="U133" s="450">
        <f t="shared" si="45"/>
        <v>0.71949509980103277</v>
      </c>
      <c r="V133" s="450">
        <f t="shared" si="37"/>
        <v>0.44106979298147608</v>
      </c>
      <c r="W133" s="450">
        <v>0</v>
      </c>
      <c r="X133" s="451">
        <f t="shared" si="38"/>
        <v>1</v>
      </c>
      <c r="Y133" s="446">
        <f t="shared" si="39"/>
        <v>10708.563160599149</v>
      </c>
      <c r="Z133" s="446">
        <f t="shared" si="46"/>
        <v>4634.8136108056833</v>
      </c>
      <c r="AA133" s="446">
        <f>SUMPRODUCT($F$31:$F$33,$N$16:$N$18)*MIN(Q133/O133,1)*X133</f>
        <v>1759.726945199217</v>
      </c>
      <c r="AB133">
        <f t="shared" si="43"/>
        <v>1459.271084457818</v>
      </c>
      <c r="AC133" s="446">
        <v>0</v>
      </c>
      <c r="AD133" s="446">
        <v>0</v>
      </c>
      <c r="AE133" s="446">
        <v>0</v>
      </c>
      <c r="AF133" s="447">
        <f t="shared" si="20"/>
        <v>18562.374801061869</v>
      </c>
      <c r="AG133" s="452">
        <f t="shared" si="40"/>
        <v>511.70642567180795</v>
      </c>
      <c r="AH133" s="453">
        <f t="shared" si="47"/>
        <v>-10.175438161034901</v>
      </c>
      <c r="AI133" s="104">
        <f t="shared" si="41"/>
        <v>-20.275438161034899</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38.840827372099156</v>
      </c>
      <c r="R134" s="1309">
        <f>(M$15+1-$J$15)*$O$2+25</f>
        <v>185.65306122448979</v>
      </c>
      <c r="S134" s="1309">
        <f>(M$15+N$15+1-$J$15)*$O$2+$E$16+D134*$O$3</f>
        <v>367.37142857142857</v>
      </c>
      <c r="T134" s="1309">
        <v>0</v>
      </c>
      <c r="U134" s="450">
        <f t="shared" si="45"/>
        <v>0.78396888172040824</v>
      </c>
      <c r="V134" s="450">
        <f t="shared" si="37"/>
        <v>0.41193767183995184</v>
      </c>
      <c r="W134" s="450">
        <v>0</v>
      </c>
      <c r="X134" s="451">
        <f t="shared" si="38"/>
        <v>1</v>
      </c>
      <c r="Y134" s="446">
        <f t="shared" si="39"/>
        <v>11664.68487136693</v>
      </c>
      <c r="Z134" s="446">
        <f t="shared" si="46"/>
        <v>5407.2825459399646</v>
      </c>
      <c r="AA134" s="446">
        <f>SUMPRODUCT($F$31:$F$33,$N$16:$N$18)*MIN(Q134/O134,1)*X134</f>
        <v>1759.726945199217</v>
      </c>
      <c r="AB134">
        <f t="shared" si="43"/>
        <v>1459.271084457818</v>
      </c>
      <c r="AC134" s="446">
        <v>0</v>
      </c>
      <c r="AD134" s="446">
        <v>0</v>
      </c>
      <c r="AE134" s="446">
        <v>0</v>
      </c>
      <c r="AF134" s="447">
        <f t="shared" si="20"/>
        <v>20290.965446963928</v>
      </c>
      <c r="AG134" s="452">
        <f t="shared" si="40"/>
        <v>522.41331660045171</v>
      </c>
      <c r="AH134" s="453">
        <f t="shared" si="47"/>
        <v>-8.3908273720991566</v>
      </c>
      <c r="AI134" s="104">
        <f t="shared" si="41"/>
        <v>-22.840827372099156</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41.406216583163413</v>
      </c>
      <c r="R135" s="1309">
        <f>(N$15+1-$J$15)*$O$2+25</f>
        <v>225.81632653061223</v>
      </c>
      <c r="S135" s="1309">
        <f>(N$15+N$15+1-$J$15)*$O$2+$E$17+D135*$O$3</f>
        <v>402.53469387755104</v>
      </c>
      <c r="T135" s="1309">
        <v>0</v>
      </c>
      <c r="U135" s="450">
        <f t="shared" si="45"/>
        <v>0.84045350847511058</v>
      </c>
      <c r="V135" s="450">
        <f t="shared" si="37"/>
        <v>0.38641540619545317</v>
      </c>
      <c r="W135" s="450">
        <v>0</v>
      </c>
      <c r="X135" s="451">
        <f t="shared" si="38"/>
        <v>1</v>
      </c>
      <c r="Y135" s="446">
        <f t="shared" si="39"/>
        <v>12620.80658213471</v>
      </c>
      <c r="Z135" s="446">
        <f t="shared" si="46"/>
        <v>6179.7514810742441</v>
      </c>
      <c r="AA135" s="446">
        <f>SUMPRODUCT($F$31:$F$33,$N$16:$N$18)*MIN(Q135/O135,1)*X135</f>
        <v>1759.726945199217</v>
      </c>
      <c r="AB135">
        <f t="shared" si="43"/>
        <v>1459.271084457818</v>
      </c>
      <c r="AC135" s="446">
        <v>0</v>
      </c>
      <c r="AD135" s="446">
        <v>0</v>
      </c>
      <c r="AE135" s="446">
        <v>0</v>
      </c>
      <c r="AF135" s="447">
        <f t="shared" si="20"/>
        <v>22019.556092865991</v>
      </c>
      <c r="AG135" s="452">
        <f t="shared" si="40"/>
        <v>531.79348199177366</v>
      </c>
      <c r="AH135" s="453">
        <f t="shared" si="47"/>
        <v>-6.6062165831634161</v>
      </c>
      <c r="AI135" s="104">
        <f t="shared" si="41"/>
        <v>-25.406216583163413</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24.664173678691633</v>
      </c>
      <c r="R136" s="1309">
        <f>(J$15+N$15+1-$J$15)*$O$2+$E$45+25</f>
        <v>241.88163265306122</v>
      </c>
      <c r="S136" s="1309">
        <f>(L$15+J$15+N$15+1-$J$15)*$O$2+$E$45+$E$13+$O$3</f>
        <v>358.27346938775503</v>
      </c>
      <c r="T136" s="1309">
        <f>(N$15+1-$J$15)*$O$2+$O$3</f>
        <v>225.81632653061223</v>
      </c>
      <c r="U136" s="450">
        <f t="shared" si="45"/>
        <v>0.70547670587612488</v>
      </c>
      <c r="V136" s="450">
        <f t="shared" si="37"/>
        <v>0.48653565922491376</v>
      </c>
      <c r="W136" s="450">
        <f>IF(P136&gt;0,MIN(1,P136/Q136),0)</f>
        <v>1</v>
      </c>
      <c r="X136" s="451">
        <f t="shared" si="38"/>
        <v>1</v>
      </c>
      <c r="Y136" s="446">
        <f t="shared" si="39"/>
        <v>6884.0763175280244</v>
      </c>
      <c r="Z136" s="446">
        <f t="shared" si="46"/>
        <v>3089.8757405371221</v>
      </c>
      <c r="AA136" s="446">
        <f>SUMPRODUCT($F$29:$F$31,$L$16:$L$18)*MIN(Q136/O136,1)*X136</f>
        <v>1187.7952088994127</v>
      </c>
      <c r="AB136" s="446">
        <v>0</v>
      </c>
      <c r="AC136" s="446">
        <v>0</v>
      </c>
      <c r="AD136" s="446">
        <f t="shared" ref="AD136:AD150" si="49">IF(AND(forceea,physicaldps=0),4000,(physicaldps*armorpostEA-physicaldps*armorpreEA))*Q136*W136</f>
        <v>0</v>
      </c>
      <c r="AE136" s="446">
        <v>0</v>
      </c>
      <c r="AF136" s="447">
        <f t="shared" si="20"/>
        <v>11161.747266964559</v>
      </c>
      <c r="AG136" s="452">
        <f t="shared" si="40"/>
        <v>452.54900538620677</v>
      </c>
      <c r="AH136" s="453">
        <f t="shared" si="47"/>
        <v>-7.264173678691634</v>
      </c>
      <c r="AI136" s="104">
        <f t="shared" si="41"/>
        <v>-12.664173678691633</v>
      </c>
      <c r="AJ136" s="454">
        <f>P136-$Q136</f>
        <v>5.3358263213083674</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27.22956288975589</v>
      </c>
      <c r="R137" s="1309">
        <f>(K$15+N$15+1-$J$15)*$O$2+$E$45+25</f>
        <v>282.04489795918369</v>
      </c>
      <c r="S137" s="1309">
        <f>(L$15+K$15+N$15+1-$J$15)*$O$2+$E$45+$E$14+$O$3</f>
        <v>393.4367346938775</v>
      </c>
      <c r="T137" s="1309">
        <f t="shared" ref="T137:T150" si="51">(N$15+1-$J$15)*$O$2+$O$3</f>
        <v>225.81632653061223</v>
      </c>
      <c r="U137" s="450">
        <f t="shared" si="45"/>
        <v>0.79876419933948439</v>
      </c>
      <c r="V137" s="450">
        <f t="shared" si="37"/>
        <v>0.44069748929074998</v>
      </c>
      <c r="W137" s="450">
        <f t="shared" ref="W137:W150" si="52">IF(P137&gt;0,MIN(1,P137/Q137),0)</f>
        <v>1</v>
      </c>
      <c r="X137" s="451">
        <f t="shared" si="38"/>
        <v>1</v>
      </c>
      <c r="Y137" s="446">
        <f t="shared" si="39"/>
        <v>7840.1980282958057</v>
      </c>
      <c r="Z137" s="446">
        <f t="shared" si="46"/>
        <v>3862.3446756714034</v>
      </c>
      <c r="AA137" s="446">
        <f>SUMPRODUCT($F$29:$F$31,$L$16:$L$18)*MIN(Q137/O137,1)*X137</f>
        <v>1187.7952088994127</v>
      </c>
      <c r="AB137" s="446">
        <v>0</v>
      </c>
      <c r="AC137" s="446">
        <v>0</v>
      </c>
      <c r="AD137" s="446">
        <f t="shared" si="49"/>
        <v>0</v>
      </c>
      <c r="AE137" s="446">
        <v>0</v>
      </c>
      <c r="AF137" s="447">
        <f t="shared" si="20"/>
        <v>12890.337912866622</v>
      </c>
      <c r="AG137" s="452">
        <f t="shared" si="40"/>
        <v>473.39496285914055</v>
      </c>
      <c r="AH137" s="453">
        <f t="shared" si="47"/>
        <v>-5.4795628897558899</v>
      </c>
      <c r="AI137" s="104">
        <f t="shared" si="41"/>
        <v>-15.22956288975589</v>
      </c>
      <c r="AJ137" s="454">
        <f t="shared" ref="AJ137:AJ150" si="53">P137-$Q137</f>
        <v>2.7704371102441101</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29.794952100820147</v>
      </c>
      <c r="R138" s="1309">
        <f>(L$15+N$15+1-$J$15)*$O$2+$E$45+25</f>
        <v>322.2081632653061</v>
      </c>
      <c r="S138" s="1309">
        <f>(L$15+L$15+N$15+1-$J$15)*$O$2+$E$45+$E$15+$O$3</f>
        <v>428.59999999999997</v>
      </c>
      <c r="T138" s="1309">
        <f t="shared" si="51"/>
        <v>225.81632653061223</v>
      </c>
      <c r="U138" s="450">
        <f t="shared" si="45"/>
        <v>0.87598731193400914</v>
      </c>
      <c r="V138" s="450">
        <f t="shared" si="37"/>
        <v>0.40275278709609619</v>
      </c>
      <c r="W138" s="450">
        <f t="shared" si="52"/>
        <v>1</v>
      </c>
      <c r="X138" s="451">
        <f t="shared" si="38"/>
        <v>1</v>
      </c>
      <c r="Y138" s="446">
        <f t="shared" si="39"/>
        <v>8796.3197390635869</v>
      </c>
      <c r="Z138" s="446">
        <f t="shared" si="46"/>
        <v>4634.8136108056833</v>
      </c>
      <c r="AA138" s="446">
        <f>SUMPRODUCT($F$29:$F$31,$L$16:$L$18)*MIN(Q138/O138,1)*X138</f>
        <v>1187.7952088994127</v>
      </c>
      <c r="AB138" s="446">
        <v>0</v>
      </c>
      <c r="AC138" s="446">
        <v>0</v>
      </c>
      <c r="AD138" s="446">
        <f t="shared" si="49"/>
        <v>0</v>
      </c>
      <c r="AE138" s="446">
        <v>0</v>
      </c>
      <c r="AF138" s="447">
        <f t="shared" si="20"/>
        <v>14618.928558768683</v>
      </c>
      <c r="AG138" s="452">
        <f t="shared" si="40"/>
        <v>490.65118511690025</v>
      </c>
      <c r="AH138" s="453">
        <f t="shared" si="47"/>
        <v>-3.6949521008201494</v>
      </c>
      <c r="AI138" s="104">
        <f t="shared" si="41"/>
        <v>-17.794952100820147</v>
      </c>
      <c r="AJ138" s="454">
        <f t="shared" si="53"/>
        <v>0.20504789917985278</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32.360341311884412</v>
      </c>
      <c r="R139" s="1309">
        <f>(M$15+N$15+1-$J$15)*$O$2+$E$45+25</f>
        <v>362.37142857142857</v>
      </c>
      <c r="S139" s="1309">
        <f>(L$15+M$15+N$15+1-$J$15)*$O$2+$E$45+$E$16+$O$3</f>
        <v>463.76326530612238</v>
      </c>
      <c r="T139" s="1309">
        <f t="shared" si="51"/>
        <v>225.81632653061223</v>
      </c>
      <c r="U139" s="450">
        <f t="shared" si="45"/>
        <v>0.94096658952163659</v>
      </c>
      <c r="V139" s="450">
        <f t="shared" si="37"/>
        <v>0.37082427173266469</v>
      </c>
      <c r="W139" s="450">
        <f t="shared" si="52"/>
        <v>0.9270606793316617</v>
      </c>
      <c r="X139" s="451">
        <f t="shared" si="38"/>
        <v>1</v>
      </c>
      <c r="Y139" s="446">
        <f t="shared" si="39"/>
        <v>9752.4414498313672</v>
      </c>
      <c r="Z139" s="446">
        <f t="shared" si="46"/>
        <v>5407.2825459399646</v>
      </c>
      <c r="AA139" s="446">
        <f>SUMPRODUCT($F$29:$F$31,$L$16:$L$18)*MIN(Q139/O139,1)*X139</f>
        <v>1187.7952088994127</v>
      </c>
      <c r="AB139" s="446">
        <v>0</v>
      </c>
      <c r="AC139" s="446">
        <v>0</v>
      </c>
      <c r="AD139" s="446">
        <f t="shared" si="49"/>
        <v>0</v>
      </c>
      <c r="AE139" s="446">
        <v>0</v>
      </c>
      <c r="AF139" s="447">
        <f>SUM(Y139:AE139)</f>
        <v>16347.519204670745</v>
      </c>
      <c r="AG139" s="452">
        <f t="shared" si="40"/>
        <v>505.17140864231493</v>
      </c>
      <c r="AH139" s="453">
        <f t="shared" si="47"/>
        <v>-1.9103413118844124</v>
      </c>
      <c r="AI139" s="104">
        <f t="shared" si="41"/>
        <v>-20.360341311884412</v>
      </c>
      <c r="AJ139" s="454">
        <f t="shared" si="53"/>
        <v>-2.3603413118844117</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34.925730522948669</v>
      </c>
      <c r="R140" s="1309">
        <f>(N$15+N$15+1-$J$15)*$O$2+$E$45+25</f>
        <v>402.53469387755104</v>
      </c>
      <c r="S140" s="1309">
        <f>(L$15+N$15+N$15+1-$J$15)*$O$2+$E$45+$E$17+$O$3</f>
        <v>498.9265306122449</v>
      </c>
      <c r="T140" s="1309">
        <f t="shared" si="51"/>
        <v>225.81632653061223</v>
      </c>
      <c r="U140" s="450">
        <f t="shared" si="45"/>
        <v>0.99640006032612383</v>
      </c>
      <c r="V140" s="450">
        <f t="shared" si="37"/>
        <v>0.34358622769866343</v>
      </c>
      <c r="W140" s="450">
        <f t="shared" si="52"/>
        <v>0.85896556924665857</v>
      </c>
      <c r="X140" s="451">
        <f t="shared" si="38"/>
        <v>1</v>
      </c>
      <c r="Y140" s="446">
        <f t="shared" si="39"/>
        <v>10708.563160599149</v>
      </c>
      <c r="Z140" s="446">
        <f t="shared" si="46"/>
        <v>6179.7514810742441</v>
      </c>
      <c r="AA140" s="446">
        <f>SUMPRODUCT($F$29:$F$31,$L$16:$L$18)*MIN(Q140/O140,1)*X140</f>
        <v>1187.7952088994127</v>
      </c>
      <c r="AB140" s="446">
        <v>0</v>
      </c>
      <c r="AC140" s="446">
        <v>0</v>
      </c>
      <c r="AD140" s="446">
        <f t="shared" si="49"/>
        <v>0</v>
      </c>
      <c r="AE140" s="446">
        <v>0</v>
      </c>
      <c r="AF140" s="447">
        <f t="shared" si="20"/>
        <v>18076.109850572808</v>
      </c>
      <c r="AG140" s="452">
        <f t="shared" si="40"/>
        <v>517.55853291874678</v>
      </c>
      <c r="AH140" s="453">
        <f t="shared" si="47"/>
        <v>-0.12573052294867182</v>
      </c>
      <c r="AI140" s="104">
        <f t="shared" si="41"/>
        <v>-22.925730522948669</v>
      </c>
      <c r="AJ140" s="454">
        <f t="shared" si="53"/>
        <v>-4.925730522948669</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27.501032794989907</v>
      </c>
      <c r="R141" s="1309">
        <f>(J$15+N$15+1-$J$15)*$O$2+$E$45+25</f>
        <v>241.88163265306122</v>
      </c>
      <c r="S141" s="1309">
        <f>(M$15+J$15+N$15+1-$J$15)*$O$2+$E$45+$E$13+$O$3</f>
        <v>398.4367346938775</v>
      </c>
      <c r="T141" s="1309">
        <f t="shared" si="51"/>
        <v>225.81632653061223</v>
      </c>
      <c r="U141" s="450">
        <f t="shared" si="45"/>
        <v>0.63270351079941634</v>
      </c>
      <c r="V141" s="450">
        <f t="shared" si="37"/>
        <v>0.50907179029838101</v>
      </c>
      <c r="W141" s="450">
        <f t="shared" si="52"/>
        <v>1</v>
      </c>
      <c r="X141" s="451">
        <f t="shared" si="38"/>
        <v>1</v>
      </c>
      <c r="Y141" s="446">
        <f t="shared" si="39"/>
        <v>7840.1980282958057</v>
      </c>
      <c r="Z141" s="446">
        <f t="shared" si="46"/>
        <v>3089.8757405371221</v>
      </c>
      <c r="AA141" s="446">
        <f>SUMPRODUCT($F$30:$F$32,$M$16:$M$18)*MIN(Q141/O141,1)*X141</f>
        <v>1462.7610770493147</v>
      </c>
      <c r="AB141" s="446">
        <v>0</v>
      </c>
      <c r="AC141" s="446">
        <v>0</v>
      </c>
      <c r="AD141" s="446">
        <f t="shared" si="49"/>
        <v>0</v>
      </c>
      <c r="AE141" s="446">
        <v>0</v>
      </c>
      <c r="AF141" s="447">
        <f t="shared" si="20"/>
        <v>12392.834845882244</v>
      </c>
      <c r="AG141" s="452">
        <f t="shared" si="40"/>
        <v>450.63161584753101</v>
      </c>
      <c r="AH141" s="453">
        <f t="shared" si="47"/>
        <v>-10.101032794989909</v>
      </c>
      <c r="AI141" s="104">
        <f t="shared" si="41"/>
        <v>-13.501032794989907</v>
      </c>
      <c r="AJ141" s="454">
        <f t="shared" si="53"/>
        <v>2.4989672050100928</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30.066422006054164</v>
      </c>
      <c r="R142" s="1309">
        <f>(K$15+N$15+1-$J$15)*$O$2+$E$45+25</f>
        <v>282.04489795918369</v>
      </c>
      <c r="S142" s="1309">
        <f>(M$15+K$15+N$15+1-$J$15)*$O$2+$E$45+$E$14+$O$3</f>
        <v>433.59999999999997</v>
      </c>
      <c r="T142" s="1309">
        <f t="shared" si="51"/>
        <v>225.81632653061223</v>
      </c>
      <c r="U142" s="450">
        <f t="shared" si="45"/>
        <v>0.72339834768568168</v>
      </c>
      <c r="V142" s="450">
        <f t="shared" si="37"/>
        <v>0.4656357180505537</v>
      </c>
      <c r="W142" s="450">
        <f t="shared" si="52"/>
        <v>0.99779082439404365</v>
      </c>
      <c r="X142" s="451">
        <f t="shared" si="38"/>
        <v>1</v>
      </c>
      <c r="Y142" s="446">
        <f t="shared" si="39"/>
        <v>8796.3197390635869</v>
      </c>
      <c r="Z142" s="446">
        <f t="shared" si="46"/>
        <v>3862.3446756714034</v>
      </c>
      <c r="AA142" s="446">
        <f>SUMPRODUCT($F$30:$F$32,$M$16:$M$18)*MIN(Q142/O142,1)*X142</f>
        <v>1462.7610770493147</v>
      </c>
      <c r="AB142" s="446">
        <v>0</v>
      </c>
      <c r="AC142" s="446">
        <v>0</v>
      </c>
      <c r="AD142" s="446">
        <f t="shared" si="49"/>
        <v>0</v>
      </c>
      <c r="AE142" s="446">
        <v>0</v>
      </c>
      <c r="AF142" s="447">
        <f t="shared" si="20"/>
        <v>14121.425491784306</v>
      </c>
      <c r="AG142" s="452">
        <f t="shared" si="40"/>
        <v>469.67429276888419</v>
      </c>
      <c r="AH142" s="453">
        <f t="shared" si="47"/>
        <v>-8.3164220060541645</v>
      </c>
      <c r="AI142" s="104">
        <f t="shared" si="41"/>
        <v>-16.066422006054164</v>
      </c>
      <c r="AJ142" s="454">
        <f t="shared" si="53"/>
        <v>-6.6422006054164484E-2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32.631811217118425</v>
      </c>
      <c r="R143" s="1309">
        <f>(L$15+N$15+1-$J$15)*$O$2+$E$45+25</f>
        <v>322.2081632653061</v>
      </c>
      <c r="S143" s="1309">
        <f>(M$15+L$15+N$15+1-$J$15)*$O$2+$E$45+$E$15+$O$3</f>
        <v>468.76326530612238</v>
      </c>
      <c r="T143" s="1309">
        <f t="shared" si="51"/>
        <v>225.81632653061223</v>
      </c>
      <c r="U143" s="450">
        <f t="shared" si="45"/>
        <v>0.79983301651083705</v>
      </c>
      <c r="V143" s="450">
        <f t="shared" si="37"/>
        <v>0.42902920425868657</v>
      </c>
      <c r="W143" s="450">
        <f t="shared" si="52"/>
        <v>0.91934829484004266</v>
      </c>
      <c r="X143" s="451">
        <f t="shared" si="38"/>
        <v>1</v>
      </c>
      <c r="Y143" s="446">
        <f t="shared" si="39"/>
        <v>9752.4414498313672</v>
      </c>
      <c r="Z143" s="446">
        <f t="shared" si="46"/>
        <v>4634.8136108056833</v>
      </c>
      <c r="AA143" s="446">
        <f>SUMPRODUCT($F$30:$F$32,$M$16:$M$18)*MIN(Q143/O143,1)*X143</f>
        <v>1462.7610770493147</v>
      </c>
      <c r="AB143" s="446">
        <v>0</v>
      </c>
      <c r="AC143" s="446">
        <v>0</v>
      </c>
      <c r="AD143" s="446">
        <f t="shared" si="49"/>
        <v>0</v>
      </c>
      <c r="AE143" s="446">
        <v>0</v>
      </c>
      <c r="AF143" s="447">
        <f t="shared" si="20"/>
        <v>15850.016137686365</v>
      </c>
      <c r="AG143" s="452">
        <f t="shared" si="40"/>
        <v>485.72284364563728</v>
      </c>
      <c r="AH143" s="453">
        <f t="shared" si="47"/>
        <v>-6.5318112171184275</v>
      </c>
      <c r="AI143" s="104">
        <f t="shared" si="41"/>
        <v>-18.631811217118425</v>
      </c>
      <c r="AJ143" s="454">
        <f t="shared" si="53"/>
        <v>-2.6318112171184254</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35.19720042818269</v>
      </c>
      <c r="R144" s="1309">
        <f>(M$15+N$15+1-$J$15)*$O$2+$E$45+25</f>
        <v>362.37142857142857</v>
      </c>
      <c r="S144" s="1309">
        <f>(M$15+M$15+N$15+1-$J$15)*$O$2+$E$45+$E$16+$O$3</f>
        <v>503.92653061224485</v>
      </c>
      <c r="T144" s="1309">
        <f t="shared" si="51"/>
        <v>225.81632653061223</v>
      </c>
      <c r="U144" s="450">
        <f t="shared" si="45"/>
        <v>0.86512562446922436</v>
      </c>
      <c r="V144" s="450">
        <f t="shared" si="37"/>
        <v>0.39775890780194223</v>
      </c>
      <c r="W144" s="450">
        <f t="shared" si="52"/>
        <v>0.85234051671844768</v>
      </c>
      <c r="X144" s="451">
        <f t="shared" si="38"/>
        <v>1</v>
      </c>
      <c r="Y144" s="446">
        <f t="shared" si="39"/>
        <v>10708.563160599149</v>
      </c>
      <c r="Z144" s="446">
        <f t="shared" si="46"/>
        <v>5407.2825459399646</v>
      </c>
      <c r="AA144" s="446">
        <f>SUMPRODUCT($F$30:$F$32,$M$16:$M$18)*MIN(Q144/O144,1)*X144</f>
        <v>1462.7610770493147</v>
      </c>
      <c r="AB144" s="446">
        <v>0</v>
      </c>
      <c r="AC144" s="446">
        <v>0</v>
      </c>
      <c r="AD144" s="446">
        <f t="shared" si="49"/>
        <v>0</v>
      </c>
      <c r="AE144" s="446">
        <v>0</v>
      </c>
      <c r="AF144" s="447">
        <f t="shared" si="20"/>
        <v>17578.606783588428</v>
      </c>
      <c r="AG144" s="452">
        <f t="shared" si="40"/>
        <v>499.43195963713896</v>
      </c>
      <c r="AH144" s="453">
        <f t="shared" si="47"/>
        <v>-4.7472004281826905</v>
      </c>
      <c r="AI144" s="104">
        <f t="shared" si="41"/>
        <v>-21.19720042818269</v>
      </c>
      <c r="AJ144" s="454">
        <f t="shared" si="53"/>
        <v>-5.1972004281826898</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37.76258963924694</v>
      </c>
      <c r="R145" s="1309">
        <f>(N$15+N$15+1-$J$15)*$O$2+$E$45+25</f>
        <v>402.53469387755104</v>
      </c>
      <c r="S145" s="1309">
        <f>(M$15+N$15+N$15+1-$J$15)*$O$2+$E$45+$E$17+$O$3</f>
        <v>539.08979591836737</v>
      </c>
      <c r="T145" s="1309">
        <f t="shared" si="51"/>
        <v>225.81632653061223</v>
      </c>
      <c r="U145" s="450">
        <f t="shared" si="45"/>
        <v>0.92154696837401473</v>
      </c>
      <c r="V145" s="450">
        <f t="shared" si="37"/>
        <v>0.37073728612747725</v>
      </c>
      <c r="W145" s="450">
        <f t="shared" si="52"/>
        <v>0.7944370417017369</v>
      </c>
      <c r="X145" s="451">
        <f t="shared" si="38"/>
        <v>1</v>
      </c>
      <c r="Y145" s="446">
        <f t="shared" si="39"/>
        <v>11664.68487136693</v>
      </c>
      <c r="Z145" s="446">
        <f t="shared" si="46"/>
        <v>6179.7514810742441</v>
      </c>
      <c r="AA145" s="446">
        <f>SUMPRODUCT($F$30:$F$32,$M$16:$M$18)*MIN(Q145/O145,1)*X145</f>
        <v>1462.7610770493147</v>
      </c>
      <c r="AB145" s="446">
        <v>0</v>
      </c>
      <c r="AC145" s="446">
        <v>0</v>
      </c>
      <c r="AD145" s="446">
        <f t="shared" si="49"/>
        <v>0</v>
      </c>
      <c r="AE145" s="446">
        <v>0</v>
      </c>
      <c r="AF145" s="447">
        <f t="shared" si="20"/>
        <v>19307.19742949049</v>
      </c>
      <c r="AG145" s="452">
        <f t="shared" si="40"/>
        <v>511.27842698119349</v>
      </c>
      <c r="AH145" s="453">
        <f t="shared" si="47"/>
        <v>-2.9625896392469429</v>
      </c>
      <c r="AI145" s="104">
        <f t="shared" si="41"/>
        <v>-23.76258963924694</v>
      </c>
      <c r="AJ145" s="454">
        <f t="shared" si="53"/>
        <v>-7.76258963924694</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30.337891911288182</v>
      </c>
      <c r="R146" s="1309">
        <f>(J$15+N$15+1-$J$15)*$O$2+$E$45+25</f>
        <v>241.88163265306122</v>
      </c>
      <c r="S146" s="1309">
        <f>(N$15+J$15+N$15+1-$J$15)*$O$2+$E$45+$E$13+$O$3</f>
        <v>438.6</v>
      </c>
      <c r="T146" s="1309">
        <f t="shared" si="51"/>
        <v>225.81632653061223</v>
      </c>
      <c r="U146" s="450">
        <f t="shared" si="45"/>
        <v>0.57354018040804522</v>
      </c>
      <c r="V146" s="450">
        <f t="shared" si="37"/>
        <v>0.52739326934073127</v>
      </c>
      <c r="W146" s="450">
        <f t="shared" si="52"/>
        <v>0.98886238001387106</v>
      </c>
      <c r="X146" s="451">
        <f t="shared" si="38"/>
        <v>1</v>
      </c>
      <c r="Y146" s="446">
        <f t="shared" si="39"/>
        <v>8796.3197390635869</v>
      </c>
      <c r="Z146" s="446">
        <f t="shared" si="46"/>
        <v>3089.8757405371221</v>
      </c>
      <c r="AA146" s="446">
        <f>SUMPRODUCT($F$31:$F$33,$N$16:$N$18)*MIN(Q146/O146,1)*X146</f>
        <v>1759.726945199217</v>
      </c>
      <c r="AB146" s="446">
        <v>0</v>
      </c>
      <c r="AC146" s="446">
        <v>0</v>
      </c>
      <c r="AD146" s="446">
        <f t="shared" si="49"/>
        <v>0</v>
      </c>
      <c r="AE146" s="446">
        <v>0</v>
      </c>
      <c r="AF146" s="447">
        <f t="shared" si="20"/>
        <v>13645.922424799926</v>
      </c>
      <c r="AG146" s="452">
        <f t="shared" si="40"/>
        <v>449.79797754907702</v>
      </c>
      <c r="AH146" s="453">
        <f t="shared" si="47"/>
        <v>-12.937891911288183</v>
      </c>
      <c r="AI146" s="104">
        <f t="shared" si="41"/>
        <v>-14.337891911288182</v>
      </c>
      <c r="AJ146" s="454">
        <f t="shared" si="53"/>
        <v>-0.33789191128818175</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32.903281122352439</v>
      </c>
      <c r="R147" s="1309">
        <f>(K$15+N$15+1-$J$15)*$O$2+$E$45+25</f>
        <v>282.04489795918369</v>
      </c>
      <c r="S147" s="1309">
        <f>(N$15+K$15+N$15+1-$J$15)*$O$2+$E$45+$E$14+$O$3</f>
        <v>473.76326530612243</v>
      </c>
      <c r="T147" s="1309">
        <f t="shared" si="51"/>
        <v>225.81632653061223</v>
      </c>
      <c r="U147" s="450">
        <f t="shared" si="45"/>
        <v>0.66102830046406547</v>
      </c>
      <c r="V147" s="450">
        <f t="shared" si="37"/>
        <v>0.48627369229540446</v>
      </c>
      <c r="W147" s="450">
        <f t="shared" si="52"/>
        <v>0.91176317305388332</v>
      </c>
      <c r="X147" s="451">
        <f t="shared" si="38"/>
        <v>1</v>
      </c>
      <c r="Y147" s="446">
        <f t="shared" si="39"/>
        <v>9752.4414498313672</v>
      </c>
      <c r="Z147" s="446">
        <f t="shared" si="46"/>
        <v>3862.3446756714034</v>
      </c>
      <c r="AA147" s="446">
        <f>SUMPRODUCT($F$31:$F$33,$N$16:$N$18)*MIN(Q147/O147,1)*X147</f>
        <v>1759.726945199217</v>
      </c>
      <c r="AB147" s="446">
        <v>0</v>
      </c>
      <c r="AC147" s="446">
        <v>0</v>
      </c>
      <c r="AD147" s="446">
        <f t="shared" si="49"/>
        <v>0</v>
      </c>
      <c r="AE147" s="446">
        <v>0</v>
      </c>
      <c r="AF147" s="447">
        <f t="shared" si="20"/>
        <v>15374.513070701989</v>
      </c>
      <c r="AG147" s="452">
        <f t="shared" si="40"/>
        <v>467.26382738338827</v>
      </c>
      <c r="AH147" s="453">
        <f t="shared" si="47"/>
        <v>-11.153281122352439</v>
      </c>
      <c r="AI147" s="104">
        <f t="shared" si="41"/>
        <v>-16.903281122352439</v>
      </c>
      <c r="AJ147" s="454">
        <f t="shared" si="53"/>
        <v>-2.9032811223524391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35.468670333416703</v>
      </c>
      <c r="R148" s="1309">
        <f>(L$15+N$15+1-$J$15)*$O$2+$E$45+25</f>
        <v>322.2081632653061</v>
      </c>
      <c r="S148" s="1309">
        <f>(N$15+L$15+N$15+1-$J$15)*$O$2+$E$45+$E$15+$O$3</f>
        <v>508.9265306122449</v>
      </c>
      <c r="T148" s="1309">
        <f t="shared" si="51"/>
        <v>225.81632653061223</v>
      </c>
      <c r="U148" s="450">
        <f t="shared" si="45"/>
        <v>0.73586068365833157</v>
      </c>
      <c r="V148" s="450">
        <f t="shared" si="37"/>
        <v>0.45110233480970519</v>
      </c>
      <c r="W148" s="450">
        <f t="shared" si="52"/>
        <v>0.84581687776819725</v>
      </c>
      <c r="X148" s="451">
        <f t="shared" si="38"/>
        <v>1</v>
      </c>
      <c r="Y148" s="446">
        <f t="shared" si="39"/>
        <v>10708.563160599149</v>
      </c>
      <c r="Z148" s="446">
        <f t="shared" si="46"/>
        <v>4634.8136108056833</v>
      </c>
      <c r="AA148" s="446">
        <f>SUMPRODUCT($F$31:$F$33,$N$16:$N$18)*MIN(Q148/O148,1)*X148</f>
        <v>1759.726945199217</v>
      </c>
      <c r="AB148" s="446">
        <v>0</v>
      </c>
      <c r="AC148" s="446">
        <v>0</v>
      </c>
      <c r="AD148" s="446">
        <f t="shared" si="49"/>
        <v>0</v>
      </c>
      <c r="AE148" s="446">
        <v>0</v>
      </c>
      <c r="AF148" s="447">
        <f t="shared" si="20"/>
        <v>17103.103716604051</v>
      </c>
      <c r="AG148" s="452">
        <f t="shared" si="40"/>
        <v>482.20312619078965</v>
      </c>
      <c r="AH148" s="453">
        <f t="shared" si="47"/>
        <v>-9.3686703334167056</v>
      </c>
      <c r="AI148" s="104">
        <f t="shared" si="41"/>
        <v>-19.468670333416703</v>
      </c>
      <c r="AJ148" s="454">
        <f t="shared" si="53"/>
        <v>-5.4686703334167035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38.034059544480961</v>
      </c>
      <c r="R149" s="1309">
        <f>(M$15+N$15+1-$J$15)*$O$2+$E$45+25</f>
        <v>362.37142857142857</v>
      </c>
      <c r="S149" s="1309">
        <f>(N$15+M$15+N$15+1-$J$15)*$O$2+$E$45+$E$16+$O$3</f>
        <v>544.08979591836737</v>
      </c>
      <c r="T149" s="1309">
        <f t="shared" si="51"/>
        <v>225.81632653061223</v>
      </c>
      <c r="U149" s="450">
        <f t="shared" si="45"/>
        <v>0.8005982102538548</v>
      </c>
      <c r="V149" s="450">
        <f t="shared" si="37"/>
        <v>0.42067557845851156</v>
      </c>
      <c r="W149" s="450">
        <f t="shared" si="52"/>
        <v>0.78876670960970918</v>
      </c>
      <c r="X149" s="451">
        <f t="shared" si="38"/>
        <v>1</v>
      </c>
      <c r="Y149" s="446">
        <f t="shared" si="39"/>
        <v>11664.68487136693</v>
      </c>
      <c r="Z149" s="446">
        <f t="shared" si="46"/>
        <v>5407.2825459399646</v>
      </c>
      <c r="AA149" s="446">
        <f>SUMPRODUCT($F$31:$F$33,$N$16:$N$18)*MIN(Q149/O149,1)*X149</f>
        <v>1759.726945199217</v>
      </c>
      <c r="AB149" s="446">
        <v>0</v>
      </c>
      <c r="AC149" s="446">
        <v>0</v>
      </c>
      <c r="AD149" s="446">
        <f t="shared" si="49"/>
        <v>0</v>
      </c>
      <c r="AE149" s="446">
        <v>0</v>
      </c>
      <c r="AF149" s="447">
        <f t="shared" ref="AF149:AF150" si="57">SUM(Y149:AE149)</f>
        <v>18831.69436250611</v>
      </c>
      <c r="AG149" s="452">
        <f t="shared" si="40"/>
        <v>495.12711995632179</v>
      </c>
      <c r="AH149" s="453">
        <f t="shared" si="47"/>
        <v>-7.5840595444809615</v>
      </c>
      <c r="AI149" s="104">
        <f t="shared" si="41"/>
        <v>-22.034059544480961</v>
      </c>
      <c r="AJ149" s="454">
        <f t="shared" si="53"/>
        <v>-8.0340595444809608</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40.599448755545218</v>
      </c>
      <c r="R150" s="1309">
        <f>(N$15+N$15+1-$J$15)*$O$2+$E$45+25</f>
        <v>402.53469387755104</v>
      </c>
      <c r="S150" s="1309">
        <f>(N$15+N$15+N$15+1-$J$15)*$O$2+$E$45+$E$17+$O$3</f>
        <v>579.25306122448978</v>
      </c>
      <c r="T150" s="1309">
        <f t="shared" si="51"/>
        <v>225.81632653061223</v>
      </c>
      <c r="U150" s="450">
        <f t="shared" si="45"/>
        <v>0.85715449511483544</v>
      </c>
      <c r="V150" s="450">
        <f t="shared" si="37"/>
        <v>0.39409402074245314</v>
      </c>
      <c r="W150" s="450">
        <f t="shared" si="52"/>
        <v>0.73892628889209966</v>
      </c>
      <c r="X150" s="451">
        <f t="shared" si="38"/>
        <v>1</v>
      </c>
      <c r="Y150" s="446">
        <f t="shared" si="39"/>
        <v>12620.80658213471</v>
      </c>
      <c r="Z150" s="446">
        <f t="shared" si="46"/>
        <v>6179.7514810742441</v>
      </c>
      <c r="AA150" s="446">
        <f>SUMPRODUCT($F$31:$F$33,$N$16:$N$18)*MIN(Q150/O150,1)*X150</f>
        <v>1759.726945199217</v>
      </c>
      <c r="AB150" s="446">
        <v>0</v>
      </c>
      <c r="AC150" s="446">
        <v>0</v>
      </c>
      <c r="AD150" s="446">
        <f t="shared" si="49"/>
        <v>0</v>
      </c>
      <c r="AE150" s="446">
        <v>0</v>
      </c>
      <c r="AF150" s="447">
        <f t="shared" si="57"/>
        <v>20560.285008408173</v>
      </c>
      <c r="AG150" s="452">
        <f t="shared" si="40"/>
        <v>506.41783666089742</v>
      </c>
      <c r="AH150" s="453">
        <f t="shared" si="47"/>
        <v>-5.799448755545221</v>
      </c>
      <c r="AI150" s="104">
        <f t="shared" si="41"/>
        <v>-24.599448755545218</v>
      </c>
      <c r="AJ150" s="454">
        <f t="shared" si="53"/>
        <v>-10.599448755545218</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2.7387180339161481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382.44868430711233</v>
      </c>
      <c r="Z234" s="446">
        <f>Q234*U234*$O$6*(sndfact-1)*$K$4</f>
        <v>486.33898926258797</v>
      </c>
      <c r="AA234" s="446">
        <v>0</v>
      </c>
      <c r="AB234" s="446">
        <v>0</v>
      </c>
      <c r="AC234" s="446">
        <v>0</v>
      </c>
      <c r="AD234" s="446">
        <v>0</v>
      </c>
      <c r="AE234" s="446">
        <v>0</v>
      </c>
      <c r="AF234" s="447">
        <f t="shared" ref="AF234:AF243" si="64">SUM(Y234:AE234)</f>
        <v>868.78767356970025</v>
      </c>
      <c r="AG234" s="452">
        <f t="shared" ref="AG234:AG265" si="65">IF(AND(forceea,W234=0),0,IF(time=0, AF234/Q234, IF(time&lt;Q234, 0, AF234/Q234))*AQ234)</f>
        <v>317.22421323067101</v>
      </c>
      <c r="AH234" s="453">
        <f>N234-$Q234</f>
        <v>14.66128196608385</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5.4089371219862734</v>
      </c>
      <c r="R235" s="1309">
        <f>(K$15+1-$J$15)*$O$2+25</f>
        <v>105.32653061224489</v>
      </c>
      <c r="S235" s="1309">
        <v>0</v>
      </c>
      <c r="T235" s="1309">
        <v>0</v>
      </c>
      <c r="U235" s="450">
        <f>IF(N235&gt;0,MIN(1,N235/Q235),0)</f>
        <v>1</v>
      </c>
      <c r="V235" s="450">
        <v>0</v>
      </c>
      <c r="W235" s="450">
        <v>0</v>
      </c>
      <c r="X235" s="451">
        <f t="shared" si="62"/>
        <v>1</v>
      </c>
      <c r="Y235" s="446">
        <f t="shared" si="63"/>
        <v>1338.5703950748932</v>
      </c>
      <c r="Z235" s="446">
        <f>Q235*U235*$O$6*(sndfact-1)*$K$4</f>
        <v>960.51399973080856</v>
      </c>
      <c r="AA235" s="446">
        <v>0</v>
      </c>
      <c r="AB235" s="446">
        <v>0</v>
      </c>
      <c r="AC235" s="446">
        <v>0</v>
      </c>
      <c r="AD235" s="446">
        <v>0</v>
      </c>
      <c r="AE235" s="446">
        <v>0</v>
      </c>
      <c r="AF235" s="447">
        <f t="shared" si="64"/>
        <v>2299.0843948057018</v>
      </c>
      <c r="AG235" s="452">
        <f t="shared" si="65"/>
        <v>425.05289726152898</v>
      </c>
      <c r="AH235" s="453">
        <f>N235-$Q235</f>
        <v>16.341062878013727</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8.0791562100563965</v>
      </c>
      <c r="R236" s="1309">
        <f>(L$15+1-$J$15)*$O$2+25</f>
        <v>145.48979591836735</v>
      </c>
      <c r="S236" s="1309">
        <v>0</v>
      </c>
      <c r="T236" s="1309">
        <v>0</v>
      </c>
      <c r="U236" s="450">
        <f>IF(N236&gt;0,MIN(1,N236/Q236),0)</f>
        <v>1</v>
      </c>
      <c r="V236" s="450">
        <v>0</v>
      </c>
      <c r="W236" s="450">
        <v>0</v>
      </c>
      <c r="X236" s="451">
        <f t="shared" si="62"/>
        <v>1</v>
      </c>
      <c r="Y236" s="446">
        <f t="shared" si="63"/>
        <v>2294.6921058426742</v>
      </c>
      <c r="Z236" s="446">
        <f>Q236*U236*$O$6*(sndfact-1)*$K$4</f>
        <v>1434.6890101990286</v>
      </c>
      <c r="AA236" s="446">
        <v>0</v>
      </c>
      <c r="AB236" s="446">
        <v>0</v>
      </c>
      <c r="AC236" s="446">
        <v>0</v>
      </c>
      <c r="AD236" s="446">
        <v>0</v>
      </c>
      <c r="AE236" s="446">
        <v>0</v>
      </c>
      <c r="AF236" s="447">
        <f t="shared" si="64"/>
        <v>3729.3811160417026</v>
      </c>
      <c r="AG236" s="452">
        <f t="shared" si="65"/>
        <v>461.60527400121526</v>
      </c>
      <c r="AH236" s="453">
        <f>N236-$Q236</f>
        <v>18.020843789943601</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10.749375298126521</v>
      </c>
      <c r="R237" s="1309">
        <f>(M$15+1-$J$15)*$O$2+25</f>
        <v>185.65306122448979</v>
      </c>
      <c r="S237" s="1309">
        <v>0</v>
      </c>
      <c r="T237" s="1309">
        <v>0</v>
      </c>
      <c r="U237" s="450">
        <f>IF(N237&gt;0,MIN(1,N237/Q237),0)</f>
        <v>1</v>
      </c>
      <c r="V237" s="450">
        <v>0</v>
      </c>
      <c r="W237" s="450">
        <v>0</v>
      </c>
      <c r="X237" s="451">
        <f t="shared" si="62"/>
        <v>1</v>
      </c>
      <c r="Y237" s="446">
        <f t="shared" si="63"/>
        <v>3250.8138166104554</v>
      </c>
      <c r="Z237" s="446">
        <f>Q237*U237*$O$6*(sndfact-1)*$K$4</f>
        <v>1908.8640206672492</v>
      </c>
      <c r="AA237" s="446">
        <v>0</v>
      </c>
      <c r="AB237" s="446">
        <v>0</v>
      </c>
      <c r="AC237" s="446">
        <v>0</v>
      </c>
      <c r="AD237" s="446">
        <v>0</v>
      </c>
      <c r="AE237" s="446">
        <v>0</v>
      </c>
      <c r="AF237" s="447">
        <f t="shared" si="64"/>
        <v>5159.6778372777044</v>
      </c>
      <c r="AG237" s="452">
        <f t="shared" si="65"/>
        <v>479.99792491913183</v>
      </c>
      <c r="AH237" s="453">
        <f>N237-$Q237</f>
        <v>19.70062470187348</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13.419594386196646</v>
      </c>
      <c r="R238" s="1309">
        <f>(N$15+1-$J$15)*$O$2+25</f>
        <v>225.81632653061223</v>
      </c>
      <c r="S238" s="1309">
        <v>0</v>
      </c>
      <c r="T238" s="1309">
        <v>0</v>
      </c>
      <c r="U238" s="450">
        <f>IF(N238&gt;0,MIN(1,N238/Q238),0)</f>
        <v>1</v>
      </c>
      <c r="V238" s="450">
        <v>0</v>
      </c>
      <c r="W238" s="450">
        <v>0</v>
      </c>
      <c r="X238" s="451">
        <f t="shared" si="62"/>
        <v>1</v>
      </c>
      <c r="Y238" s="446">
        <f t="shared" si="63"/>
        <v>4206.9355273782367</v>
      </c>
      <c r="Z238" s="446">
        <f>Q238*U238*$O$6*(sndfact-1)*$K$4</f>
        <v>2383.0390311354695</v>
      </c>
      <c r="AA238" s="446">
        <v>0</v>
      </c>
      <c r="AB238" s="446">
        <v>0</v>
      </c>
      <c r="AC238" s="446">
        <v>0</v>
      </c>
      <c r="AD238" s="446">
        <v>0</v>
      </c>
      <c r="AE238" s="446">
        <v>0</v>
      </c>
      <c r="AF238" s="447">
        <f t="shared" si="64"/>
        <v>6589.9745585137061</v>
      </c>
      <c r="AG238" s="452">
        <f t="shared" si="65"/>
        <v>491.07106883141967</v>
      </c>
      <c r="AH238" s="453">
        <f>N238-$Q238</f>
        <v>21.380405613803351</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3.7164006948975441</v>
      </c>
      <c r="R239" s="1309">
        <v>0</v>
      </c>
      <c r="S239" s="1309">
        <v>0</v>
      </c>
      <c r="T239" s="1309">
        <v>0</v>
      </c>
      <c r="U239" s="450">
        <v>0</v>
      </c>
      <c r="V239" s="450">
        <v>0</v>
      </c>
      <c r="W239" s="450">
        <v>0</v>
      </c>
      <c r="X239" s="451">
        <f t="shared" si="62"/>
        <v>1</v>
      </c>
      <c r="Y239" s="446">
        <f t="shared" si="63"/>
        <v>382.44868430711233</v>
      </c>
      <c r="Z239" s="159">
        <v>0</v>
      </c>
      <c r="AA239" s="446">
        <v>0</v>
      </c>
      <c r="AB239">
        <f>SUMPRODUCT($F$20:$F$22,$J$16:$J$18)*X239</f>
        <v>384.0290554420975</v>
      </c>
      <c r="AC239" s="446">
        <v>0</v>
      </c>
      <c r="AD239" s="446">
        <v>0</v>
      </c>
      <c r="AE239" s="446">
        <v>0</v>
      </c>
      <c r="AF239" s="447">
        <f t="shared" si="64"/>
        <v>766.47773974920983</v>
      </c>
      <c r="AG239" s="452">
        <f t="shared" si="65"/>
        <v>206.24195361968108</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6.5532598111958205</v>
      </c>
      <c r="R240" s="1309">
        <v>0</v>
      </c>
      <c r="S240" s="1309">
        <v>0</v>
      </c>
      <c r="T240" s="1309">
        <v>0</v>
      </c>
      <c r="U240" s="450">
        <v>0</v>
      </c>
      <c r="V240" s="450">
        <v>0</v>
      </c>
      <c r="W240" s="450">
        <v>0</v>
      </c>
      <c r="X240" s="451">
        <f t="shared" si="62"/>
        <v>1</v>
      </c>
      <c r="Y240" s="446">
        <f t="shared" si="63"/>
        <v>1338.5703950748932</v>
      </c>
      <c r="Z240" s="159">
        <v>0</v>
      </c>
      <c r="AA240" s="446">
        <v>0</v>
      </c>
      <c r="AB240">
        <f>SUMPRODUCT($F$21:$F$23,$K$16:$K$18)*X240</f>
        <v>652.83956269602766</v>
      </c>
      <c r="AC240" s="446">
        <v>0</v>
      </c>
      <c r="AD240" s="446">
        <v>0</v>
      </c>
      <c r="AE240" s="446">
        <v>0</v>
      </c>
      <c r="AF240" s="447">
        <f t="shared" si="64"/>
        <v>1991.4099577709208</v>
      </c>
      <c r="AG240" s="452">
        <f t="shared" si="65"/>
        <v>303.88081888173053</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9.3901189274940968</v>
      </c>
      <c r="R241" s="1309">
        <v>0</v>
      </c>
      <c r="S241" s="1309">
        <v>0</v>
      </c>
      <c r="T241" s="1309">
        <v>0</v>
      </c>
      <c r="U241" s="450">
        <v>0</v>
      </c>
      <c r="V241" s="450">
        <v>0</v>
      </c>
      <c r="W241" s="450">
        <v>0</v>
      </c>
      <c r="X241" s="451">
        <f t="shared" si="62"/>
        <v>1</v>
      </c>
      <c r="Y241" s="446">
        <f t="shared" si="63"/>
        <v>2294.6921058426742</v>
      </c>
      <c r="Z241" s="159">
        <v>0</v>
      </c>
      <c r="AA241" s="446">
        <v>0</v>
      </c>
      <c r="AB241">
        <f>SUMPRODUCT($F$22:$F$24,$L$16:$L$18)*X241</f>
        <v>921.6500699499577</v>
      </c>
      <c r="AC241" s="446">
        <v>0</v>
      </c>
      <c r="AD241" s="446">
        <v>0</v>
      </c>
      <c r="AE241" s="446">
        <v>0</v>
      </c>
      <c r="AF241" s="447">
        <f t="shared" si="64"/>
        <v>3216.3421757926317</v>
      </c>
      <c r="AG241" s="452">
        <f t="shared" si="65"/>
        <v>342.52411504344639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12.226978043792371</v>
      </c>
      <c r="R242" s="1309">
        <v>0</v>
      </c>
      <c r="S242" s="1309">
        <v>0</v>
      </c>
      <c r="T242" s="1309">
        <v>0</v>
      </c>
      <c r="U242" s="450">
        <v>0</v>
      </c>
      <c r="V242" s="450">
        <v>0</v>
      </c>
      <c r="W242" s="450">
        <v>0</v>
      </c>
      <c r="X242" s="451">
        <f t="shared" si="62"/>
        <v>1</v>
      </c>
      <c r="Y242" s="446">
        <f t="shared" si="63"/>
        <v>3250.8138166104554</v>
      </c>
      <c r="Z242" s="159">
        <v>0</v>
      </c>
      <c r="AA242" s="446">
        <v>0</v>
      </c>
      <c r="AB242">
        <f>SUMPRODUCT($F$23:$F$25,$M$16:$M$18)*X242</f>
        <v>1190.4605772038879</v>
      </c>
      <c r="AC242" s="446">
        <v>0</v>
      </c>
      <c r="AD242" s="446">
        <v>0</v>
      </c>
      <c r="AE242" s="446">
        <v>0</v>
      </c>
      <c r="AF242" s="447">
        <f t="shared" si="64"/>
        <v>4441.2743938143431</v>
      </c>
      <c r="AG242" s="452">
        <f t="shared" si="65"/>
        <v>363.23565626006626</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15.06383716009065</v>
      </c>
      <c r="R243" s="1309">
        <v>0</v>
      </c>
      <c r="S243" s="1309">
        <v>0</v>
      </c>
      <c r="T243" s="1309">
        <v>0</v>
      </c>
      <c r="U243" s="450">
        <v>0</v>
      </c>
      <c r="V243" s="450">
        <v>0</v>
      </c>
      <c r="W243" s="450">
        <v>0</v>
      </c>
      <c r="X243" s="451">
        <f t="shared" si="62"/>
        <v>1</v>
      </c>
      <c r="Y243" s="446">
        <f t="shared" si="63"/>
        <v>4206.9355273782367</v>
      </c>
      <c r="Z243" s="159">
        <v>0</v>
      </c>
      <c r="AA243" s="446">
        <v>0</v>
      </c>
      <c r="AB243">
        <f>SUMPRODUCT($F$24:$F$26,$N$16:$N$18)*X243</f>
        <v>1459.271084457818</v>
      </c>
      <c r="AC243" s="446">
        <v>0</v>
      </c>
      <c r="AD243" s="446">
        <v>0</v>
      </c>
      <c r="AE243" s="446">
        <v>0</v>
      </c>
      <c r="AF243" s="447">
        <f t="shared" si="64"/>
        <v>5666.2066118360544</v>
      </c>
      <c r="AG243" s="452">
        <f t="shared" si="65"/>
        <v>376.14630001762163</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11.577251697921682</v>
      </c>
      <c r="R244" s="1309">
        <f>(J$15+1-$J$15)*$O$2+25</f>
        <v>65.16326530612244</v>
      </c>
      <c r="S244" s="1309">
        <v>0</v>
      </c>
      <c r="T244" s="1309">
        <v>0</v>
      </c>
      <c r="U244" s="450">
        <f t="shared" ref="U244:U284" si="67">IF(N244&gt;0,MIN(1,N244/Q244),0)</f>
        <v>1</v>
      </c>
      <c r="V244" s="450">
        <v>0</v>
      </c>
      <c r="W244" s="450">
        <v>0</v>
      </c>
      <c r="X244" s="451">
        <f t="shared" si="62"/>
        <v>1</v>
      </c>
      <c r="Y244" s="446">
        <f t="shared" si="63"/>
        <v>2677.1407901497864</v>
      </c>
      <c r="Z244" s="446">
        <f t="shared" ref="Z244:Z284" si="68">Q244*U244*$O$6*(sndfact-1)*$K$4</f>
        <v>2055.877538132208</v>
      </c>
      <c r="AA244" s="446">
        <v>0</v>
      </c>
      <c r="AB244">
        <f>SUMPRODUCT($F$22:$F$24,$L$16:$L$18)*X244</f>
        <v>921.6500699499577</v>
      </c>
      <c r="AC244" s="446">
        <v>0</v>
      </c>
      <c r="AD244" s="446">
        <v>0</v>
      </c>
      <c r="AE244" s="446">
        <v>0</v>
      </c>
      <c r="AF244" s="447">
        <f t="shared" ref="AF244:AF258" si="69">SUM(Y244:AE244)</f>
        <v>5654.6683982319519</v>
      </c>
      <c r="AG244" s="452">
        <f t="shared" si="65"/>
        <v>488.42925296744335</v>
      </c>
      <c r="AH244" s="453">
        <f t="shared" ref="AH244:AH284" si="70">N244-$Q244</f>
        <v>5.8227483020783168</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14.247470785991807</v>
      </c>
      <c r="R245" s="1309">
        <f>(K$15+1-$J$15)*$O$2+25</f>
        <v>105.32653061224489</v>
      </c>
      <c r="S245" s="1309">
        <v>0</v>
      </c>
      <c r="T245" s="1309">
        <v>0</v>
      </c>
      <c r="U245" s="450">
        <f t="shared" si="67"/>
        <v>1</v>
      </c>
      <c r="V245" s="450">
        <v>0</v>
      </c>
      <c r="W245" s="450">
        <v>0</v>
      </c>
      <c r="X245" s="451">
        <f t="shared" si="62"/>
        <v>1</v>
      </c>
      <c r="Y245" s="446">
        <f t="shared" si="63"/>
        <v>3633.2625009175676</v>
      </c>
      <c r="Z245" s="446">
        <f t="shared" si="68"/>
        <v>2530.0525486004285</v>
      </c>
      <c r="AA245" s="446">
        <v>0</v>
      </c>
      <c r="AB245">
        <f>SUMPRODUCT($F$22:$F$24,$L$16:$L$18)*X245</f>
        <v>921.6500699499577</v>
      </c>
      <c r="AC245" s="446">
        <v>0</v>
      </c>
      <c r="AD245" s="446">
        <v>0</v>
      </c>
      <c r="AE245" s="446">
        <v>0</v>
      </c>
      <c r="AF245" s="447">
        <f t="shared" si="69"/>
        <v>7084.9651194679536</v>
      </c>
      <c r="AG245" s="452">
        <f t="shared" si="65"/>
        <v>497.27879606771546</v>
      </c>
      <c r="AH245" s="453">
        <f t="shared" si="70"/>
        <v>7.5025292140081934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16.917689874061931</v>
      </c>
      <c r="R246" s="1309">
        <f>(L$15+1-$J$15)*$O$2+25</f>
        <v>145.48979591836735</v>
      </c>
      <c r="S246" s="1309">
        <v>0</v>
      </c>
      <c r="T246" s="1309">
        <v>0</v>
      </c>
      <c r="U246" s="450">
        <f t="shared" si="67"/>
        <v>1</v>
      </c>
      <c r="V246" s="450">
        <v>0</v>
      </c>
      <c r="W246" s="450">
        <v>0</v>
      </c>
      <c r="X246" s="451">
        <f t="shared" si="62"/>
        <v>1</v>
      </c>
      <c r="Y246" s="446">
        <f t="shared" si="63"/>
        <v>4589.3842116853484</v>
      </c>
      <c r="Z246" s="446">
        <f t="shared" si="68"/>
        <v>3004.2275590686486</v>
      </c>
      <c r="AA246" s="446">
        <v>0</v>
      </c>
      <c r="AB246">
        <f>SUMPRODUCT($F$22:$F$24,$L$16:$L$18)*X246</f>
        <v>921.6500699499577</v>
      </c>
      <c r="AC246" s="446">
        <v>0</v>
      </c>
      <c r="AD246" s="446">
        <v>0</v>
      </c>
      <c r="AE246" s="446">
        <v>0</v>
      </c>
      <c r="AF246" s="447">
        <f t="shared" si="69"/>
        <v>8515.2618407039554</v>
      </c>
      <c r="AG246" s="452">
        <f t="shared" si="65"/>
        <v>503.33478767449731</v>
      </c>
      <c r="AH246" s="453">
        <f t="shared" si="70"/>
        <v>9.1823101259380664</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19.587908962132051</v>
      </c>
      <c r="R247" s="1309">
        <f>(M$15+1-$J$15)*$O$2+25</f>
        <v>185.65306122448979</v>
      </c>
      <c r="S247" s="1309">
        <v>0</v>
      </c>
      <c r="T247" s="1309">
        <v>0</v>
      </c>
      <c r="U247" s="450">
        <f t="shared" si="67"/>
        <v>1</v>
      </c>
      <c r="V247" s="450">
        <v>0</v>
      </c>
      <c r="W247" s="450">
        <v>0</v>
      </c>
      <c r="X247" s="451">
        <f t="shared" si="62"/>
        <v>1</v>
      </c>
      <c r="Y247" s="446">
        <f t="shared" si="63"/>
        <v>5545.5059224531296</v>
      </c>
      <c r="Z247" s="446">
        <f t="shared" si="68"/>
        <v>3478.4025695368682</v>
      </c>
      <c r="AA247" s="446">
        <v>0</v>
      </c>
      <c r="AB247">
        <f>SUMPRODUCT($F$22:$F$24,$L$16:$L$18)*X247</f>
        <v>921.6500699499577</v>
      </c>
      <c r="AC247" s="446">
        <v>0</v>
      </c>
      <c r="AD247" s="446">
        <v>0</v>
      </c>
      <c r="AE247" s="446">
        <v>0</v>
      </c>
      <c r="AF247" s="447">
        <f t="shared" si="69"/>
        <v>9945.5585619399553</v>
      </c>
      <c r="AG247" s="452">
        <f t="shared" si="65"/>
        <v>507.73967661208837</v>
      </c>
      <c r="AH247" s="453">
        <f t="shared" si="70"/>
        <v>10.862091037867948</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22.258128050202181</v>
      </c>
      <c r="R248" s="1309">
        <f>(N$15+1-$J$15)*$O$2+25</f>
        <v>225.81632653061223</v>
      </c>
      <c r="S248" s="1309">
        <v>0</v>
      </c>
      <c r="T248" s="1309">
        <v>0</v>
      </c>
      <c r="U248" s="450">
        <f t="shared" si="67"/>
        <v>1</v>
      </c>
      <c r="V248" s="450">
        <v>0</v>
      </c>
      <c r="W248" s="450">
        <v>0</v>
      </c>
      <c r="X248" s="451">
        <f t="shared" si="62"/>
        <v>1</v>
      </c>
      <c r="Y248" s="446">
        <f t="shared" si="63"/>
        <v>6501.6276332209109</v>
      </c>
      <c r="Z248" s="446">
        <f t="shared" si="68"/>
        <v>3952.5775800050892</v>
      </c>
      <c r="AA248" s="446">
        <v>0</v>
      </c>
      <c r="AB248">
        <f>SUMPRODUCT($F$22:$F$24,$L$16:$L$18)*X248</f>
        <v>921.6500699499577</v>
      </c>
      <c r="AC248" s="446">
        <v>0</v>
      </c>
      <c r="AD248" s="446">
        <v>0</v>
      </c>
      <c r="AE248" s="446">
        <v>0</v>
      </c>
      <c r="AF248" s="447">
        <f t="shared" si="69"/>
        <v>11375.855283175957</v>
      </c>
      <c r="AG248" s="452">
        <f t="shared" si="65"/>
        <v>511.08769153983837</v>
      </c>
      <c r="AH248" s="453">
        <f t="shared" si="70"/>
        <v>12.541871949797816</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14.247470785991807</v>
      </c>
      <c r="R249" s="1309">
        <f>(J$15+1-$J$15)*$O$2+25</f>
        <v>65.16326530612244</v>
      </c>
      <c r="S249" s="1309">
        <v>0</v>
      </c>
      <c r="T249" s="1309">
        <v>0</v>
      </c>
      <c r="U249" s="450">
        <f t="shared" si="67"/>
        <v>1</v>
      </c>
      <c r="V249" s="450">
        <v>0</v>
      </c>
      <c r="W249" s="450">
        <v>0</v>
      </c>
      <c r="X249" s="451">
        <f t="shared" si="62"/>
        <v>1</v>
      </c>
      <c r="Y249" s="446">
        <f t="shared" si="63"/>
        <v>3633.2625009175676</v>
      </c>
      <c r="Z249" s="446">
        <f t="shared" si="68"/>
        <v>2530.0525486004285</v>
      </c>
      <c r="AA249" s="446">
        <v>0</v>
      </c>
      <c r="AB249">
        <f>SUMPRODUCT($F$23:$F$25,$M$16:$M$18)*X249</f>
        <v>1190.4605772038879</v>
      </c>
      <c r="AC249" s="446">
        <v>0</v>
      </c>
      <c r="AD249" s="446">
        <v>0</v>
      </c>
      <c r="AE249" s="446">
        <v>0</v>
      </c>
      <c r="AF249" s="447">
        <f t="shared" si="69"/>
        <v>7353.7756267218838</v>
      </c>
      <c r="AG249" s="452">
        <f t="shared" si="65"/>
        <v>516.14604003625379</v>
      </c>
      <c r="AH249" s="453">
        <f t="shared" si="70"/>
        <v>3.152529214008192</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16.917689874061931</v>
      </c>
      <c r="R250" s="1309">
        <f>(K$15+1-$J$15)*$O$2+25</f>
        <v>105.32653061224489</v>
      </c>
      <c r="S250" s="1309">
        <v>0</v>
      </c>
      <c r="T250" s="1309">
        <v>0</v>
      </c>
      <c r="U250" s="450">
        <f t="shared" si="67"/>
        <v>1</v>
      </c>
      <c r="V250" s="450">
        <v>0</v>
      </c>
      <c r="W250" s="450">
        <v>0</v>
      </c>
      <c r="X250" s="451">
        <f t="shared" si="62"/>
        <v>1</v>
      </c>
      <c r="Y250" s="446">
        <f t="shared" si="63"/>
        <v>4589.3842116853484</v>
      </c>
      <c r="Z250" s="446">
        <f t="shared" si="68"/>
        <v>3004.2275590686486</v>
      </c>
      <c r="AA250" s="446">
        <v>0</v>
      </c>
      <c r="AB250">
        <f>SUMPRODUCT($F$23:$F$25,$M$16:$M$18)*X250</f>
        <v>1190.4605772038879</v>
      </c>
      <c r="AC250" s="446">
        <v>0</v>
      </c>
      <c r="AD250" s="446">
        <v>0</v>
      </c>
      <c r="AE250" s="446">
        <v>0</v>
      </c>
      <c r="AF250" s="447">
        <f t="shared" si="69"/>
        <v>8784.0723479578846</v>
      </c>
      <c r="AG250" s="452">
        <f t="shared" si="65"/>
        <v>519.22410289749757</v>
      </c>
      <c r="AH250" s="453">
        <f t="shared" si="70"/>
        <v>4.8323101259380685</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19.587908962132051</v>
      </c>
      <c r="R251" s="1309">
        <f>(L$15+1-$J$15)*$O$2+25</f>
        <v>145.48979591836735</v>
      </c>
      <c r="S251" s="1309">
        <v>0</v>
      </c>
      <c r="T251" s="1309">
        <v>0</v>
      </c>
      <c r="U251" s="450">
        <f t="shared" si="67"/>
        <v>1</v>
      </c>
      <c r="V251" s="450">
        <v>0</v>
      </c>
      <c r="W251" s="450">
        <v>0</v>
      </c>
      <c r="X251" s="451">
        <f t="shared" si="62"/>
        <v>1</v>
      </c>
      <c r="Y251" s="446">
        <f t="shared" si="63"/>
        <v>5545.5059224531296</v>
      </c>
      <c r="Z251" s="446">
        <f t="shared" si="68"/>
        <v>3478.4025695368682</v>
      </c>
      <c r="AA251" s="446">
        <v>0</v>
      </c>
      <c r="AB251">
        <f>SUMPRODUCT($F$23:$F$25,$M$16:$M$18)*X251</f>
        <v>1190.4605772038879</v>
      </c>
      <c r="AC251" s="446">
        <v>0</v>
      </c>
      <c r="AD251" s="446">
        <v>0</v>
      </c>
      <c r="AE251" s="446">
        <v>0</v>
      </c>
      <c r="AF251" s="447">
        <f t="shared" si="69"/>
        <v>10214.369069193886</v>
      </c>
      <c r="AG251" s="452">
        <f t="shared" si="65"/>
        <v>521.46296416532357</v>
      </c>
      <c r="AH251" s="453">
        <f t="shared" si="70"/>
        <v>6.5120910378679469</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22.258128050202178</v>
      </c>
      <c r="R252" s="1309">
        <f>(M$15+1-$J$15)*$O$2+25</f>
        <v>185.65306122448979</v>
      </c>
      <c r="S252" s="1309">
        <v>0</v>
      </c>
      <c r="T252" s="1309">
        <v>0</v>
      </c>
      <c r="U252" s="450">
        <f t="shared" si="67"/>
        <v>1</v>
      </c>
      <c r="V252" s="450">
        <v>0</v>
      </c>
      <c r="W252" s="450">
        <v>0</v>
      </c>
      <c r="X252" s="451">
        <f t="shared" si="62"/>
        <v>1</v>
      </c>
      <c r="Y252" s="446">
        <f t="shared" si="63"/>
        <v>6501.6276332209109</v>
      </c>
      <c r="Z252" s="446">
        <f t="shared" si="68"/>
        <v>3952.5775800050892</v>
      </c>
      <c r="AA252" s="446">
        <v>0</v>
      </c>
      <c r="AB252">
        <f>SUMPRODUCT($F$23:$F$25,$M$16:$M$18)*X252</f>
        <v>1190.4605772038879</v>
      </c>
      <c r="AC252" s="446">
        <v>0</v>
      </c>
      <c r="AD252" s="446">
        <v>0</v>
      </c>
      <c r="AE252" s="446">
        <v>0</v>
      </c>
      <c r="AF252" s="447">
        <f t="shared" si="69"/>
        <v>11644.665790429888</v>
      </c>
      <c r="AG252" s="452">
        <f t="shared" si="65"/>
        <v>523.16465087117319</v>
      </c>
      <c r="AH252" s="453">
        <f t="shared" si="70"/>
        <v>8.1918719497978216</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24.928347138272308</v>
      </c>
      <c r="R253" s="1309">
        <f>(N$15+1-$J$15)*$O$2+25</f>
        <v>225.81632653061223</v>
      </c>
      <c r="S253" s="1309">
        <v>0</v>
      </c>
      <c r="T253" s="1309">
        <v>0</v>
      </c>
      <c r="U253" s="450">
        <f t="shared" si="67"/>
        <v>1</v>
      </c>
      <c r="V253" s="450">
        <v>0</v>
      </c>
      <c r="W253" s="450">
        <v>0</v>
      </c>
      <c r="X253" s="451">
        <f t="shared" si="62"/>
        <v>1</v>
      </c>
      <c r="Y253" s="446">
        <f t="shared" si="63"/>
        <v>7457.7493439886921</v>
      </c>
      <c r="Z253" s="446">
        <f t="shared" si="68"/>
        <v>4426.7525904733102</v>
      </c>
      <c r="AA253" s="446">
        <v>0</v>
      </c>
      <c r="AB253">
        <f>SUMPRODUCT($F$23:$F$25,$M$16:$M$18)*X253</f>
        <v>1190.4605772038879</v>
      </c>
      <c r="AC253" s="446">
        <v>0</v>
      </c>
      <c r="AD253" s="446">
        <v>0</v>
      </c>
      <c r="AE253" s="446">
        <v>0</v>
      </c>
      <c r="AF253" s="447">
        <f t="shared" si="69"/>
        <v>13074.96251166589</v>
      </c>
      <c r="AG253" s="452">
        <f t="shared" si="65"/>
        <v>524.50178261486087</v>
      </c>
      <c r="AH253" s="453">
        <f t="shared" si="70"/>
        <v>9.8716528617276893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16.917689874061931</v>
      </c>
      <c r="R254" s="1309">
        <f>(J$15+1-$J$15)*$O$2+25</f>
        <v>65.16326530612244</v>
      </c>
      <c r="S254" s="1309">
        <v>0</v>
      </c>
      <c r="T254" s="1309">
        <v>0</v>
      </c>
      <c r="U254" s="450">
        <f t="shared" si="67"/>
        <v>1</v>
      </c>
      <c r="V254" s="450">
        <v>0</v>
      </c>
      <c r="W254" s="450">
        <v>0</v>
      </c>
      <c r="X254" s="451">
        <f t="shared" si="62"/>
        <v>1</v>
      </c>
      <c r="Y254" s="446">
        <f t="shared" si="63"/>
        <v>4589.3842116853493</v>
      </c>
      <c r="Z254" s="446">
        <f t="shared" si="68"/>
        <v>3004.2275590686486</v>
      </c>
      <c r="AA254" s="446">
        <v>0</v>
      </c>
      <c r="AB254">
        <f>SUMPRODUCT($F$24:$F$26,$N$16:$N$18)*X254</f>
        <v>1459.271084457818</v>
      </c>
      <c r="AC254" s="446">
        <v>0</v>
      </c>
      <c r="AD254" s="446">
        <v>0</v>
      </c>
      <c r="AE254" s="446">
        <v>0</v>
      </c>
      <c r="AF254" s="447">
        <f t="shared" si="69"/>
        <v>9052.8828552118157</v>
      </c>
      <c r="AG254" s="452">
        <f t="shared" si="65"/>
        <v>535.11341812049784</v>
      </c>
      <c r="AH254" s="453">
        <f t="shared" si="70"/>
        <v>0.4823101259380671</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19.587908962132062</v>
      </c>
      <c r="R255" s="1309">
        <f>(K$15+1-$J$15)*$O$2+25</f>
        <v>105.32653061224489</v>
      </c>
      <c r="S255" s="1309">
        <v>0</v>
      </c>
      <c r="T255" s="1309">
        <v>0</v>
      </c>
      <c r="U255" s="450">
        <f t="shared" si="67"/>
        <v>1</v>
      </c>
      <c r="V255" s="450">
        <v>0</v>
      </c>
      <c r="W255" s="450">
        <v>0</v>
      </c>
      <c r="X255" s="451">
        <f t="shared" si="62"/>
        <v>1</v>
      </c>
      <c r="Y255" s="446">
        <f t="shared" si="63"/>
        <v>5545.5059224531306</v>
      </c>
      <c r="Z255" s="446">
        <f t="shared" si="68"/>
        <v>3478.4025695368705</v>
      </c>
      <c r="AA255" s="446">
        <v>0</v>
      </c>
      <c r="AB255">
        <f>SUMPRODUCT($F$24:$F$26,$N$16:$N$18)*X255</f>
        <v>1459.271084457818</v>
      </c>
      <c r="AC255" s="446">
        <v>0</v>
      </c>
      <c r="AD255" s="446">
        <v>0</v>
      </c>
      <c r="AE255" s="446">
        <v>0</v>
      </c>
      <c r="AF255" s="447">
        <f t="shared" si="69"/>
        <v>10483.179576447819</v>
      </c>
      <c r="AG255" s="452">
        <f t="shared" si="65"/>
        <v>535.18625171855854</v>
      </c>
      <c r="AH255" s="453">
        <f t="shared" si="70"/>
        <v>2.1620910378679383</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22.258128050202181</v>
      </c>
      <c r="R256" s="1309">
        <f>(L$15+1-$J$15)*$O$2+25</f>
        <v>145.48979591836735</v>
      </c>
      <c r="S256" s="1309">
        <v>0</v>
      </c>
      <c r="T256" s="1309">
        <v>0</v>
      </c>
      <c r="U256" s="450">
        <f t="shared" si="67"/>
        <v>1</v>
      </c>
      <c r="V256" s="450">
        <v>0</v>
      </c>
      <c r="W256" s="450">
        <v>0</v>
      </c>
      <c r="X256" s="451">
        <f t="shared" si="62"/>
        <v>1</v>
      </c>
      <c r="Y256" s="446">
        <f t="shared" si="63"/>
        <v>6501.6276332209109</v>
      </c>
      <c r="Z256" s="446">
        <f t="shared" si="68"/>
        <v>3952.5775800050892</v>
      </c>
      <c r="AA256" s="446">
        <v>0</v>
      </c>
      <c r="AB256">
        <f>SUMPRODUCT($F$24:$F$26,$N$16:$N$18)*X256</f>
        <v>1459.271084457818</v>
      </c>
      <c r="AC256" s="446">
        <v>0</v>
      </c>
      <c r="AD256" s="446">
        <v>0</v>
      </c>
      <c r="AE256" s="446">
        <v>0</v>
      </c>
      <c r="AF256" s="447">
        <f t="shared" si="69"/>
        <v>11913.476297683817</v>
      </c>
      <c r="AG256" s="452">
        <f t="shared" si="65"/>
        <v>535.24161020250767</v>
      </c>
      <c r="AH256" s="453">
        <f t="shared" si="70"/>
        <v>3.8418719497978167</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24.928347138272308</v>
      </c>
      <c r="R257" s="1309">
        <f>(M$15+1-$J$15)*$O$2+25</f>
        <v>185.65306122448979</v>
      </c>
      <c r="S257" s="1309">
        <v>0</v>
      </c>
      <c r="T257" s="1309">
        <v>0</v>
      </c>
      <c r="U257" s="450">
        <f t="shared" si="67"/>
        <v>1</v>
      </c>
      <c r="V257" s="450">
        <v>0</v>
      </c>
      <c r="W257" s="450">
        <v>0</v>
      </c>
      <c r="X257" s="451">
        <f t="shared" si="62"/>
        <v>1</v>
      </c>
      <c r="Y257" s="446">
        <f t="shared" si="63"/>
        <v>7457.7493439886921</v>
      </c>
      <c r="Z257" s="446">
        <f t="shared" si="68"/>
        <v>4426.7525904733102</v>
      </c>
      <c r="AA257" s="446">
        <v>0</v>
      </c>
      <c r="AB257">
        <f>SUMPRODUCT($F$24:$F$26,$N$16:$N$18)*X257</f>
        <v>1459.271084457818</v>
      </c>
      <c r="AC257" s="446">
        <v>0</v>
      </c>
      <c r="AD257" s="446">
        <v>0</v>
      </c>
      <c r="AE257" s="446">
        <v>0</v>
      </c>
      <c r="AF257" s="447">
        <f t="shared" si="69"/>
        <v>13343.773018919819</v>
      </c>
      <c r="AG257" s="452">
        <f t="shared" si="65"/>
        <v>535.28510915323477</v>
      </c>
      <c r="AH257" s="453">
        <f t="shared" si="70"/>
        <v>5.5216528617276914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27.598566226342431</v>
      </c>
      <c r="R258" s="1309">
        <f>(N$15+1-$J$15)*$O$2+25</f>
        <v>225.81632653061223</v>
      </c>
      <c r="S258" s="1309">
        <v>0</v>
      </c>
      <c r="T258" s="1309">
        <v>0</v>
      </c>
      <c r="U258" s="450">
        <f t="shared" si="67"/>
        <v>1</v>
      </c>
      <c r="V258" s="450">
        <v>0</v>
      </c>
      <c r="W258" s="450">
        <v>0</v>
      </c>
      <c r="X258" s="451">
        <f t="shared" si="62"/>
        <v>1</v>
      </c>
      <c r="Y258" s="446">
        <f t="shared" si="63"/>
        <v>8413.8710547564733</v>
      </c>
      <c r="Z258" s="446">
        <f t="shared" si="68"/>
        <v>4900.9276009415316</v>
      </c>
      <c r="AA258" s="446">
        <v>0</v>
      </c>
      <c r="AB258">
        <f>SUMPRODUCT($F$24:$F$26,$N$16:$N$18)*X258</f>
        <v>1459.271084457818</v>
      </c>
      <c r="AC258" s="446">
        <v>0</v>
      </c>
      <c r="AD258" s="446">
        <v>0</v>
      </c>
      <c r="AE258" s="446">
        <v>0</v>
      </c>
      <c r="AF258" s="447">
        <f t="shared" si="69"/>
        <v>14774.069740155823</v>
      </c>
      <c r="AG258" s="452">
        <f t="shared" si="65"/>
        <v>535.32019087477772</v>
      </c>
      <c r="AH258" s="453">
        <f t="shared" si="70"/>
        <v>7.2014337736575662</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22.326626996048201</v>
      </c>
      <c r="R259" s="1309">
        <f>(J$15+1-$J$15)*$O$2+25</f>
        <v>65.16326530612244</v>
      </c>
      <c r="S259" s="1309">
        <v>0</v>
      </c>
      <c r="T259" s="1309">
        <v>0</v>
      </c>
      <c r="U259" s="450">
        <f t="shared" si="67"/>
        <v>1</v>
      </c>
      <c r="V259" s="450">
        <v>0</v>
      </c>
      <c r="W259" s="450">
        <v>0</v>
      </c>
      <c r="X259" s="451">
        <f t="shared" si="62"/>
        <v>1</v>
      </c>
      <c r="Y259" s="446">
        <f t="shared" si="63"/>
        <v>5927.9546067602414</v>
      </c>
      <c r="Z259" s="446">
        <f t="shared" si="68"/>
        <v>3964.7415587994569</v>
      </c>
      <c r="AA259" s="446">
        <v>0</v>
      </c>
      <c r="AB259">
        <f>SUMPRODUCT($F$22:$F$24,$L$16:$L$18)*X259</f>
        <v>921.6500699499577</v>
      </c>
      <c r="AC259" s="446">
        <v>0</v>
      </c>
      <c r="AD259" s="446">
        <v>0</v>
      </c>
      <c r="AE259" s="446">
        <v>0</v>
      </c>
      <c r="AF259" s="447">
        <f t="shared" ref="AF259:AF284" si="71">SUM(Y259:AE259)</f>
        <v>10814.346235509656</v>
      </c>
      <c r="AG259" s="452">
        <f t="shared" si="65"/>
        <v>484.36990672275704</v>
      </c>
      <c r="AH259" s="453">
        <f t="shared" si="70"/>
        <v>25.523373003951793</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24.996846084118328</v>
      </c>
      <c r="R260" s="1309">
        <f>(K$15+1-$J$15)*$O$2+25</f>
        <v>105.32653061224489</v>
      </c>
      <c r="S260" s="1309">
        <v>0</v>
      </c>
      <c r="T260" s="1309">
        <v>0</v>
      </c>
      <c r="U260" s="450">
        <f t="shared" si="67"/>
        <v>1</v>
      </c>
      <c r="V260" s="450">
        <v>0</v>
      </c>
      <c r="W260" s="450">
        <v>0</v>
      </c>
      <c r="X260" s="451">
        <f t="shared" si="62"/>
        <v>1</v>
      </c>
      <c r="Y260" s="446">
        <f t="shared" si="63"/>
        <v>6884.0763175280226</v>
      </c>
      <c r="Z260" s="446">
        <f t="shared" si="68"/>
        <v>4438.9165692676779</v>
      </c>
      <c r="AA260" s="446">
        <v>0</v>
      </c>
      <c r="AB260">
        <f>SUMPRODUCT($F$22:$F$24,$L$16:$L$18)*X260</f>
        <v>921.6500699499577</v>
      </c>
      <c r="AC260" s="446">
        <v>0</v>
      </c>
      <c r="AD260" s="446">
        <v>0</v>
      </c>
      <c r="AE260" s="446">
        <v>0</v>
      </c>
      <c r="AF260" s="447">
        <f t="shared" si="71"/>
        <v>12244.642956745658</v>
      </c>
      <c r="AG260" s="452">
        <f t="shared" si="65"/>
        <v>489.84751578421151</v>
      </c>
      <c r="AH260" s="453">
        <f t="shared" si="70"/>
        <v>27.203153915881675</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24.996846084118328</v>
      </c>
      <c r="R261" s="1309">
        <f>(J$15+1-$J$15)*$O$2+25</f>
        <v>65.16326530612244</v>
      </c>
      <c r="S261" s="1309">
        <v>0</v>
      </c>
      <c r="T261" s="1309">
        <v>0</v>
      </c>
      <c r="U261" s="450">
        <f t="shared" si="67"/>
        <v>1</v>
      </c>
      <c r="V261" s="450">
        <v>0</v>
      </c>
      <c r="W261" s="450">
        <v>0</v>
      </c>
      <c r="X261" s="451">
        <f t="shared" si="62"/>
        <v>1</v>
      </c>
      <c r="Y261" s="446">
        <f t="shared" si="63"/>
        <v>6884.0763175280226</v>
      </c>
      <c r="Z261" s="446">
        <f t="shared" si="68"/>
        <v>4438.9165692676779</v>
      </c>
      <c r="AA261" s="446">
        <v>0</v>
      </c>
      <c r="AB261">
        <f>SUMPRODUCT($F$23:$F$25,$M$16:$M$18)*X261</f>
        <v>1190.4605772038879</v>
      </c>
      <c r="AC261" s="446">
        <v>0</v>
      </c>
      <c r="AD261" s="446">
        <v>0</v>
      </c>
      <c r="AE261" s="446">
        <v>0</v>
      </c>
      <c r="AF261" s="447">
        <f t="shared" si="71"/>
        <v>12513.453463999589</v>
      </c>
      <c r="AG261" s="452">
        <f t="shared" si="65"/>
        <v>500.60129273468522</v>
      </c>
      <c r="AH261" s="453">
        <f t="shared" si="70"/>
        <v>22.853153915881666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27.667065172188448</v>
      </c>
      <c r="R262" s="1309">
        <f>(K$15+1-$J$15)*$O$2+25</f>
        <v>105.32653061224489</v>
      </c>
      <c r="S262" s="1309">
        <v>0</v>
      </c>
      <c r="T262" s="1309">
        <v>0</v>
      </c>
      <c r="U262" s="450">
        <f t="shared" si="67"/>
        <v>1</v>
      </c>
      <c r="V262" s="450">
        <v>0</v>
      </c>
      <c r="W262" s="450">
        <v>0</v>
      </c>
      <c r="X262" s="451">
        <f t="shared" si="62"/>
        <v>1</v>
      </c>
      <c r="Y262" s="446">
        <f t="shared" si="63"/>
        <v>7840.1980282958039</v>
      </c>
      <c r="Z262" s="446">
        <f t="shared" si="68"/>
        <v>4913.0915797358966</v>
      </c>
      <c r="AA262" s="446">
        <v>0</v>
      </c>
      <c r="AB262">
        <f>SUMPRODUCT($F$23:$F$25,$M$16:$M$18)*X262</f>
        <v>1190.4605772038879</v>
      </c>
      <c r="AC262" s="446">
        <v>0</v>
      </c>
      <c r="AD262" s="446">
        <v>0</v>
      </c>
      <c r="AE262" s="446">
        <v>0</v>
      </c>
      <c r="AF262" s="447">
        <f t="shared" si="71"/>
        <v>13943.750185235589</v>
      </c>
      <c r="AG262" s="452">
        <f t="shared" si="65"/>
        <v>503.9837112630276</v>
      </c>
      <c r="AH262" s="453">
        <f t="shared" si="70"/>
        <v>24.532934827811555</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27.667065172188448</v>
      </c>
      <c r="R263" s="1309">
        <f>(J$15+1-$J$15)*$O$2+25</f>
        <v>65.16326530612244</v>
      </c>
      <c r="S263" s="1309">
        <v>0</v>
      </c>
      <c r="T263" s="1309">
        <v>0</v>
      </c>
      <c r="U263" s="450">
        <f t="shared" si="67"/>
        <v>1</v>
      </c>
      <c r="V263" s="450">
        <v>0</v>
      </c>
      <c r="W263" s="450">
        <v>0</v>
      </c>
      <c r="X263" s="451">
        <f t="shared" si="62"/>
        <v>1</v>
      </c>
      <c r="Y263" s="446">
        <f t="shared" si="63"/>
        <v>7840.1980282958039</v>
      </c>
      <c r="Z263" s="446">
        <f t="shared" si="68"/>
        <v>4913.0915797358966</v>
      </c>
      <c r="AA263" s="446">
        <v>0</v>
      </c>
      <c r="AB263">
        <f>SUMPRODUCT($F$24:$F$26,$N$16:$N$18)*X263</f>
        <v>1459.271084457818</v>
      </c>
      <c r="AC263" s="446">
        <v>0</v>
      </c>
      <c r="AD263" s="446">
        <v>0</v>
      </c>
      <c r="AE263" s="446">
        <v>0</v>
      </c>
      <c r="AF263" s="447">
        <f t="shared" si="71"/>
        <v>14212.560692489518</v>
      </c>
      <c r="AG263" s="452">
        <f t="shared" si="65"/>
        <v>513.69961374783986</v>
      </c>
      <c r="AH263" s="453">
        <f t="shared" si="70"/>
        <v>20.182934827811547</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30.337284260258574</v>
      </c>
      <c r="R264" s="1309">
        <f>(K$15+1-$J$15)*$O$2+25</f>
        <v>105.32653061224489</v>
      </c>
      <c r="S264" s="1309">
        <v>0</v>
      </c>
      <c r="T264" s="1309">
        <v>0</v>
      </c>
      <c r="U264" s="450">
        <f t="shared" si="67"/>
        <v>1</v>
      </c>
      <c r="V264" s="450">
        <v>0</v>
      </c>
      <c r="W264" s="450">
        <v>0</v>
      </c>
      <c r="X264" s="451">
        <f t="shared" si="62"/>
        <v>1</v>
      </c>
      <c r="Y264" s="446">
        <f t="shared" si="63"/>
        <v>8796.3197390635851</v>
      </c>
      <c r="Z264" s="446">
        <f t="shared" si="68"/>
        <v>5387.2665902041181</v>
      </c>
      <c r="AA264" s="446">
        <v>0</v>
      </c>
      <c r="AB264">
        <f>SUMPRODUCT($F$24:$F$26,$N$16:$N$18)*X264</f>
        <v>1459.271084457818</v>
      </c>
      <c r="AC264" s="446">
        <v>0</v>
      </c>
      <c r="AD264" s="446">
        <v>0</v>
      </c>
      <c r="AE264" s="446">
        <v>0</v>
      </c>
      <c r="AF264" s="447">
        <f t="shared" si="71"/>
        <v>15642.85741372552</v>
      </c>
      <c r="AG264" s="452">
        <f t="shared" si="65"/>
        <v>515.63143488810726</v>
      </c>
      <c r="AH264" s="453">
        <f t="shared" si="70"/>
        <v>21.862715739741429</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24.996846084118332</v>
      </c>
      <c r="R265" s="1309">
        <f>(J$15+1-$J$15)*$O$2+25</f>
        <v>65.16326530612244</v>
      </c>
      <c r="S265" s="1309">
        <v>0</v>
      </c>
      <c r="T265" s="1309">
        <v>0</v>
      </c>
      <c r="U265" s="450">
        <f t="shared" si="67"/>
        <v>1</v>
      </c>
      <c r="V265" s="450">
        <v>0</v>
      </c>
      <c r="W265" s="450">
        <v>0</v>
      </c>
      <c r="X265" s="451">
        <f t="shared" si="62"/>
        <v>1</v>
      </c>
      <c r="Y265" s="446">
        <f t="shared" si="63"/>
        <v>6884.0763175280244</v>
      </c>
      <c r="Z265" s="446">
        <f t="shared" si="68"/>
        <v>4438.9165692676779</v>
      </c>
      <c r="AA265" s="446">
        <v>0</v>
      </c>
      <c r="AB265">
        <f>SUMPRODUCT($F$22:$F$24,$L$16:$L$18)*X265</f>
        <v>921.6500699499577</v>
      </c>
      <c r="AC265" s="446">
        <v>0</v>
      </c>
      <c r="AD265" s="446">
        <v>0</v>
      </c>
      <c r="AE265" s="446">
        <v>0</v>
      </c>
      <c r="AF265" s="447">
        <f t="shared" si="71"/>
        <v>12244.64295674566</v>
      </c>
      <c r="AG265" s="452">
        <f t="shared" si="65"/>
        <v>489.84751578421151</v>
      </c>
      <c r="AH265" s="453">
        <f t="shared" si="70"/>
        <v>27.203153915881664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27.667065172188458</v>
      </c>
      <c r="R266" s="1309">
        <f>(K$15+1-$J$15)*$O$2+25</f>
        <v>105.32653061224489</v>
      </c>
      <c r="S266" s="1309">
        <v>0</v>
      </c>
      <c r="T266" s="1309">
        <v>0</v>
      </c>
      <c r="U266" s="450">
        <f t="shared" si="67"/>
        <v>1</v>
      </c>
      <c r="V266" s="450">
        <v>0</v>
      </c>
      <c r="W266" s="450">
        <v>0</v>
      </c>
      <c r="X266" s="451">
        <f t="shared" si="62"/>
        <v>1</v>
      </c>
      <c r="Y266" s="446">
        <f t="shared" si="63"/>
        <v>7840.1980282958057</v>
      </c>
      <c r="Z266" s="446">
        <f t="shared" si="68"/>
        <v>4913.0915797358994</v>
      </c>
      <c r="AA266" s="446">
        <v>0</v>
      </c>
      <c r="AB266">
        <f>SUMPRODUCT($F$22:$F$24,$L$16:$L$18)*X266</f>
        <v>921.6500699499577</v>
      </c>
      <c r="AC266" s="446">
        <v>0</v>
      </c>
      <c r="AD266" s="446">
        <v>0</v>
      </c>
      <c r="AE266" s="446">
        <v>0</v>
      </c>
      <c r="AF266" s="447">
        <f t="shared" si="71"/>
        <v>13674.939677981662</v>
      </c>
      <c r="AG266" s="452">
        <f t="shared" ref="AG266:AG284" si="73">IF(AND(forceea,W266=0),0,IF(time=0, AF266/Q266, IF(time&lt;Q266, 0, AF266/Q266))*AQ266)</f>
        <v>494.26780877821517</v>
      </c>
      <c r="AH266" s="453">
        <f t="shared" si="70"/>
        <v>28.882934827811539</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30.337284260258578</v>
      </c>
      <c r="R267" s="1309">
        <f>(L$15+1-$J$15)*$O$2+25</f>
        <v>145.48979591836735</v>
      </c>
      <c r="S267" s="1309">
        <v>0</v>
      </c>
      <c r="T267" s="1309">
        <v>0</v>
      </c>
      <c r="U267" s="450">
        <f t="shared" si="67"/>
        <v>1</v>
      </c>
      <c r="V267" s="450">
        <v>0</v>
      </c>
      <c r="W267" s="450">
        <v>0</v>
      </c>
      <c r="X267" s="451">
        <f t="shared" si="62"/>
        <v>1</v>
      </c>
      <c r="Y267" s="446">
        <f t="shared" si="63"/>
        <v>8796.3197390635869</v>
      </c>
      <c r="Z267" s="446">
        <f t="shared" si="68"/>
        <v>5387.266590204119</v>
      </c>
      <c r="AA267" s="446">
        <v>0</v>
      </c>
      <c r="AB267">
        <f>SUMPRODUCT($F$22:$F$24,$L$16:$L$18)*X267</f>
        <v>921.6500699499577</v>
      </c>
      <c r="AC267" s="446">
        <v>0</v>
      </c>
      <c r="AD267" s="446">
        <v>0</v>
      </c>
      <c r="AE267" s="446">
        <v>0</v>
      </c>
      <c r="AF267" s="447">
        <f t="shared" si="71"/>
        <v>15105.236399217663</v>
      </c>
      <c r="AG267" s="452">
        <f t="shared" si="73"/>
        <v>497.90997340540838</v>
      </c>
      <c r="AH267" s="453">
        <f t="shared" si="70"/>
        <v>30.562715739741414</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27.667065172188458</v>
      </c>
      <c r="R268" s="1309">
        <f>(J$15+1-$J$15)*$O$2+25</f>
        <v>65.16326530612244</v>
      </c>
      <c r="S268" s="1309">
        <v>0</v>
      </c>
      <c r="T268" s="1309">
        <v>0</v>
      </c>
      <c r="U268" s="450">
        <f t="shared" si="67"/>
        <v>1</v>
      </c>
      <c r="V268" s="450">
        <v>0</v>
      </c>
      <c r="W268" s="450">
        <v>0</v>
      </c>
      <c r="X268" s="451">
        <f t="shared" si="62"/>
        <v>1</v>
      </c>
      <c r="Y268" s="446">
        <f t="shared" si="63"/>
        <v>7840.1980282958057</v>
      </c>
      <c r="Z268" s="446">
        <f t="shared" si="68"/>
        <v>4913.0915797358994</v>
      </c>
      <c r="AA268" s="446">
        <v>0</v>
      </c>
      <c r="AB268">
        <f>SUMPRODUCT($F$23:$F$25,$M$16:$M$18)*X268</f>
        <v>1190.4605772038879</v>
      </c>
      <c r="AC268" s="446">
        <v>0</v>
      </c>
      <c r="AD268" s="446">
        <v>0</v>
      </c>
      <c r="AE268" s="446">
        <v>0</v>
      </c>
      <c r="AF268" s="447">
        <f t="shared" si="71"/>
        <v>13943.750185235593</v>
      </c>
      <c r="AG268" s="452">
        <f t="shared" si="73"/>
        <v>503.98371126302754</v>
      </c>
      <c r="AH268" s="453">
        <f t="shared" si="70"/>
        <v>24.532934827811538</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30.337284260258578</v>
      </c>
      <c r="R269" s="1309">
        <f>(K$15+1-$J$15)*$O$2+25</f>
        <v>105.32653061224489</v>
      </c>
      <c r="S269" s="1309">
        <v>0</v>
      </c>
      <c r="T269" s="1309">
        <v>0</v>
      </c>
      <c r="U269" s="450">
        <f t="shared" si="67"/>
        <v>1</v>
      </c>
      <c r="V269" s="450">
        <v>0</v>
      </c>
      <c r="W269" s="450">
        <v>0</v>
      </c>
      <c r="X269" s="451">
        <f t="shared" si="62"/>
        <v>1</v>
      </c>
      <c r="Y269" s="446">
        <f t="shared" si="63"/>
        <v>8796.3197390635869</v>
      </c>
      <c r="Z269" s="446">
        <f t="shared" si="68"/>
        <v>5387.266590204119</v>
      </c>
      <c r="AA269" s="446">
        <v>0</v>
      </c>
      <c r="AB269">
        <f>SUMPRODUCT($F$23:$F$25,$M$16:$M$18)*X269</f>
        <v>1190.4605772038879</v>
      </c>
      <c r="AC269" s="446">
        <v>0</v>
      </c>
      <c r="AD269" s="446">
        <v>0</v>
      </c>
      <c r="AE269" s="446">
        <v>0</v>
      </c>
      <c r="AF269" s="447">
        <f t="shared" si="71"/>
        <v>15374.046906471594</v>
      </c>
      <c r="AG269" s="452">
        <f t="shared" si="73"/>
        <v>506.77070414675791</v>
      </c>
      <c r="AH269" s="453">
        <f t="shared" si="70"/>
        <v>26.212715739741419</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33.007503348328704</v>
      </c>
      <c r="R270" s="1309">
        <f>(L$15+1-$J$15)*$O$2+25</f>
        <v>145.48979591836735</v>
      </c>
      <c r="S270" s="1309">
        <v>0</v>
      </c>
      <c r="T270" s="1309">
        <v>0</v>
      </c>
      <c r="U270" s="450">
        <f t="shared" si="67"/>
        <v>1</v>
      </c>
      <c r="V270" s="450">
        <v>0</v>
      </c>
      <c r="W270" s="450">
        <v>0</v>
      </c>
      <c r="X270" s="451">
        <f t="shared" si="62"/>
        <v>1</v>
      </c>
      <c r="Y270" s="446">
        <f t="shared" si="63"/>
        <v>9752.4414498313672</v>
      </c>
      <c r="Z270" s="446">
        <f t="shared" si="68"/>
        <v>5861.4416006723395</v>
      </c>
      <c r="AA270" s="446">
        <v>0</v>
      </c>
      <c r="AB270">
        <f>SUMPRODUCT($F$23:$F$25,$M$16:$M$18)*X270</f>
        <v>1190.4605772038879</v>
      </c>
      <c r="AC270" s="446">
        <v>0</v>
      </c>
      <c r="AD270" s="446">
        <v>0</v>
      </c>
      <c r="AE270" s="446">
        <v>0</v>
      </c>
      <c r="AF270" s="447">
        <f t="shared" si="71"/>
        <v>16804.343627707596</v>
      </c>
      <c r="AG270" s="452">
        <f t="shared" si="73"/>
        <v>509.10677643113723</v>
      </c>
      <c r="AH270" s="453">
        <f t="shared" si="70"/>
        <v>27.892496651671287</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30.337284260258578</v>
      </c>
      <c r="R271" s="1309">
        <f>(J$15+1-$J$15)*$O$2+25</f>
        <v>65.16326530612244</v>
      </c>
      <c r="S271" s="1309">
        <v>0</v>
      </c>
      <c r="T271" s="1309">
        <v>0</v>
      </c>
      <c r="U271" s="450">
        <f t="shared" si="67"/>
        <v>1</v>
      </c>
      <c r="V271" s="450">
        <v>0</v>
      </c>
      <c r="W271" s="450">
        <v>0</v>
      </c>
      <c r="X271" s="451">
        <f t="shared" si="62"/>
        <v>1</v>
      </c>
      <c r="Y271" s="446">
        <f t="shared" si="63"/>
        <v>8796.3197390635869</v>
      </c>
      <c r="Z271" s="446">
        <f t="shared" si="68"/>
        <v>5387.266590204119</v>
      </c>
      <c r="AA271" s="446">
        <v>0</v>
      </c>
      <c r="AB271">
        <f>SUMPRODUCT($F$24:$F$26,$N$16:$N$18)*X271</f>
        <v>1459.271084457818</v>
      </c>
      <c r="AC271" s="446">
        <v>0</v>
      </c>
      <c r="AD271" s="446">
        <v>0</v>
      </c>
      <c r="AE271" s="446">
        <v>0</v>
      </c>
      <c r="AF271" s="447">
        <f t="shared" si="71"/>
        <v>15642.857413725524</v>
      </c>
      <c r="AG271" s="452">
        <f t="shared" si="73"/>
        <v>515.63143488810726</v>
      </c>
      <c r="AH271" s="453">
        <f t="shared" si="70"/>
        <v>21.862715739741418</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33.007503348328704</v>
      </c>
      <c r="R272" s="1309">
        <f>(K$15+1-$J$15)*$O$2+25</f>
        <v>105.32653061224489</v>
      </c>
      <c r="S272" s="1309">
        <v>0</v>
      </c>
      <c r="T272" s="1309">
        <v>0</v>
      </c>
      <c r="U272" s="450">
        <f t="shared" si="67"/>
        <v>1</v>
      </c>
      <c r="V272" s="450">
        <v>0</v>
      </c>
      <c r="W272" s="450">
        <v>0</v>
      </c>
      <c r="X272" s="451">
        <f t="shared" si="62"/>
        <v>1</v>
      </c>
      <c r="Y272" s="446">
        <f t="shared" si="63"/>
        <v>9752.4414498313672</v>
      </c>
      <c r="Z272" s="446">
        <f t="shared" si="68"/>
        <v>5861.4416006723395</v>
      </c>
      <c r="AA272" s="446">
        <v>0</v>
      </c>
      <c r="AB272">
        <f>SUMPRODUCT($F$24:$F$26,$N$16:$N$18)*X272</f>
        <v>1459.271084457818</v>
      </c>
      <c r="AC272" s="446">
        <v>0</v>
      </c>
      <c r="AD272" s="446">
        <v>0</v>
      </c>
      <c r="AE272" s="446">
        <v>0</v>
      </c>
      <c r="AF272" s="447">
        <f t="shared" si="71"/>
        <v>17073.154134961525</v>
      </c>
      <c r="AG272" s="452">
        <f t="shared" si="73"/>
        <v>517.25069766071852</v>
      </c>
      <c r="AH272" s="453">
        <f t="shared" si="70"/>
        <v>23.542496651671293</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35.677722436398831</v>
      </c>
      <c r="R273" s="1309">
        <f>(L$15+1-$J$15)*$O$2+25</f>
        <v>145.48979591836735</v>
      </c>
      <c r="S273" s="1309">
        <v>0</v>
      </c>
      <c r="T273" s="1309">
        <v>0</v>
      </c>
      <c r="U273" s="450">
        <f t="shared" si="67"/>
        <v>1</v>
      </c>
      <c r="V273" s="450">
        <v>0</v>
      </c>
      <c r="W273" s="450">
        <v>0</v>
      </c>
      <c r="X273" s="451">
        <f t="shared" si="62"/>
        <v>1</v>
      </c>
      <c r="Y273" s="446">
        <f t="shared" si="63"/>
        <v>10708.563160599149</v>
      </c>
      <c r="Z273" s="446">
        <f t="shared" si="68"/>
        <v>6335.6166111405601</v>
      </c>
      <c r="AA273" s="446">
        <v>0</v>
      </c>
      <c r="AB273">
        <f>SUMPRODUCT($F$24:$F$26,$N$16:$N$18)*X273</f>
        <v>1459.271084457818</v>
      </c>
      <c r="AC273" s="446">
        <v>0</v>
      </c>
      <c r="AD273" s="446">
        <v>0</v>
      </c>
      <c r="AE273" s="446">
        <v>0</v>
      </c>
      <c r="AF273" s="447">
        <f t="shared" si="71"/>
        <v>18503.450856197527</v>
      </c>
      <c r="AG273" s="452">
        <f t="shared" si="73"/>
        <v>518.62758025495737</v>
      </c>
      <c r="AH273" s="453">
        <f t="shared" si="70"/>
        <v>25.22227756360116</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14.257069332472451</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4206.9355273782367</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4206.9355273782367</v>
      </c>
      <c r="AG274" s="452">
        <f t="shared" si="73"/>
        <v>295.07715991787722</v>
      </c>
      <c r="AH274" s="453">
        <f t="shared" si="70"/>
        <v>-14.257069332472451</v>
      </c>
      <c r="AI274" s="104">
        <v>0</v>
      </c>
      <c r="AJ274" s="454">
        <f t="shared" ref="AJ274:AJ284" si="76">P274-$Q274</f>
        <v>15.742930667527549</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16.158312420112797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4589.3842116853493</v>
      </c>
      <c r="Z275" s="446">
        <f t="shared" si="68"/>
        <v>2869.3780203980577</v>
      </c>
      <c r="AA275" s="446">
        <v>0</v>
      </c>
      <c r="AB275" s="446">
        <v>0</v>
      </c>
      <c r="AC275" s="446">
        <v>0</v>
      </c>
      <c r="AD275" s="446">
        <f t="shared" si="75"/>
        <v>0</v>
      </c>
      <c r="AE275" s="446">
        <v>0</v>
      </c>
      <c r="AF275" s="447">
        <f t="shared" si="71"/>
        <v>7458.7622320834071</v>
      </c>
      <c r="AG275" s="452">
        <f t="shared" si="73"/>
        <v>461.60527400121526</v>
      </c>
      <c r="AH275" s="453">
        <f t="shared" si="70"/>
        <v>1.241687579887202</v>
      </c>
      <c r="AI275" s="104">
        <v>0</v>
      </c>
      <c r="AJ275" s="454">
        <f t="shared" si="76"/>
        <v>13.841687579887203</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18.828531508182923</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5545.5059224531306</v>
      </c>
      <c r="Z276" s="446">
        <f t="shared" si="68"/>
        <v>3343.5530308662787</v>
      </c>
      <c r="AA276" s="446">
        <v>0</v>
      </c>
      <c r="AB276" s="446">
        <v>0</v>
      </c>
      <c r="AC276" s="446">
        <v>0</v>
      </c>
      <c r="AD276" s="446">
        <f t="shared" si="75"/>
        <v>0</v>
      </c>
      <c r="AE276" s="446">
        <v>0</v>
      </c>
      <c r="AF276" s="447">
        <f t="shared" si="71"/>
        <v>8889.0589533194088</v>
      </c>
      <c r="AG276" s="452">
        <f t="shared" si="73"/>
        <v>472.10580121217652</v>
      </c>
      <c r="AH276" s="453">
        <f t="shared" si="70"/>
        <v>2.9214684918170768</v>
      </c>
      <c r="AI276" s="104">
        <v>0</v>
      </c>
      <c r="AJ276" s="454">
        <f t="shared" si="76"/>
        <v>11.171468491817077</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21.498750596253046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6501.6276332209109</v>
      </c>
      <c r="Z277" s="446">
        <f t="shared" si="68"/>
        <v>3817.7280413344993</v>
      </c>
      <c r="AA277" s="446">
        <v>0</v>
      </c>
      <c r="AB277" s="446">
        <v>0</v>
      </c>
      <c r="AC277" s="446">
        <v>0</v>
      </c>
      <c r="AD277" s="446">
        <f t="shared" si="75"/>
        <v>0</v>
      </c>
      <c r="AE277" s="446">
        <v>0</v>
      </c>
      <c r="AF277" s="447">
        <f t="shared" si="71"/>
        <v>10319.355674555411</v>
      </c>
      <c r="AG277" s="452">
        <f t="shared" si="73"/>
        <v>479.99792491913183</v>
      </c>
      <c r="AH277" s="453">
        <f t="shared" si="70"/>
        <v>4.6012494037469516</v>
      </c>
      <c r="AI277" s="104">
        <v>0</v>
      </c>
      <c r="AJ277" s="454">
        <f t="shared" si="76"/>
        <v>8.5012494037469537</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24.168969684323173</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7457.7493439886921</v>
      </c>
      <c r="Z278" s="446">
        <f t="shared" si="68"/>
        <v>4291.9030518027203</v>
      </c>
      <c r="AA278" s="446">
        <v>0</v>
      </c>
      <c r="AB278" s="446">
        <v>0</v>
      </c>
      <c r="AC278" s="446">
        <v>0</v>
      </c>
      <c r="AD278" s="446">
        <f t="shared" si="75"/>
        <v>0</v>
      </c>
      <c r="AE278" s="446">
        <v>0</v>
      </c>
      <c r="AF278" s="447">
        <f t="shared" si="71"/>
        <v>11749.652395791412</v>
      </c>
      <c r="AG278" s="452">
        <f t="shared" si="73"/>
        <v>486.1461845190961</v>
      </c>
      <c r="AH278" s="453">
        <f t="shared" si="70"/>
        <v>6.2810303156768263</v>
      </c>
      <c r="AI278" s="104">
        <v>0</v>
      </c>
      <c r="AJ278" s="454">
        <f t="shared" si="76"/>
        <v>5.8310303156768271</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26.839188772393292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8413.8710547564733</v>
      </c>
      <c r="Z279" s="446">
        <f t="shared" si="68"/>
        <v>4766.078062270939</v>
      </c>
      <c r="AA279" s="446">
        <v>0</v>
      </c>
      <c r="AB279" s="446">
        <v>0</v>
      </c>
      <c r="AC279" s="446">
        <v>0</v>
      </c>
      <c r="AD279" s="446">
        <f t="shared" si="75"/>
        <v>0</v>
      </c>
      <c r="AE279" s="446">
        <v>0</v>
      </c>
      <c r="AF279" s="447">
        <f t="shared" si="71"/>
        <v>13179.949117027412</v>
      </c>
      <c r="AG279" s="452">
        <f t="shared" si="73"/>
        <v>491.07106883141967</v>
      </c>
      <c r="AH279" s="453">
        <f t="shared" si="70"/>
        <v>7.9608112276067047</v>
      </c>
      <c r="AI279" s="104">
        <v>0</v>
      </c>
      <c r="AJ279" s="454">
        <f t="shared" si="76"/>
        <v>3.1608112276067075</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26.90768771823932</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7840.1980282958057</v>
      </c>
      <c r="Z280" s="446">
        <f t="shared" si="68"/>
        <v>4778.2420410653076</v>
      </c>
      <c r="AA280" s="446">
        <v>0</v>
      </c>
      <c r="AB280" s="446">
        <v>0</v>
      </c>
      <c r="AC280" s="446">
        <v>0</v>
      </c>
      <c r="AD280" s="446">
        <f t="shared" si="75"/>
        <v>0</v>
      </c>
      <c r="AE280" s="446">
        <v>0</v>
      </c>
      <c r="AF280" s="447">
        <f t="shared" si="71"/>
        <v>12618.440069361113</v>
      </c>
      <c r="AG280" s="452">
        <f t="shared" si="73"/>
        <v>468.95296992791134</v>
      </c>
      <c r="AH280" s="453">
        <f t="shared" si="70"/>
        <v>20.942312281760675</v>
      </c>
      <c r="AI280" s="104">
        <v>0</v>
      </c>
      <c r="AJ280" s="454">
        <f t="shared" si="76"/>
        <v>3.0923122817606803</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29.577906806309443</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8796.3197390635869</v>
      </c>
      <c r="Z281" s="446">
        <f t="shared" si="68"/>
        <v>5252.4170515335281</v>
      </c>
      <c r="AA281" s="446">
        <v>0</v>
      </c>
      <c r="AB281" s="446">
        <v>0</v>
      </c>
      <c r="AC281" s="446">
        <v>0</v>
      </c>
      <c r="AD281" s="446">
        <f t="shared" si="75"/>
        <v>0</v>
      </c>
      <c r="AE281" s="446">
        <v>0</v>
      </c>
      <c r="AF281" s="447">
        <f t="shared" si="71"/>
        <v>14048.736790597115</v>
      </c>
      <c r="AG281" s="452">
        <f t="shared" si="73"/>
        <v>474.97400281213589</v>
      </c>
      <c r="AH281" s="453">
        <f t="shared" si="70"/>
        <v>22.62209319369056</v>
      </c>
      <c r="AI281" s="104">
        <v>0</v>
      </c>
      <c r="AJ281" s="454">
        <f t="shared" si="76"/>
        <v>0.4220931936905572</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29.577906806309443</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8796.3197390635869</v>
      </c>
      <c r="Z282" s="446">
        <f t="shared" si="68"/>
        <v>5252.4170515335281</v>
      </c>
      <c r="AA282" s="446">
        <v>0</v>
      </c>
      <c r="AB282" s="446">
        <v>0</v>
      </c>
      <c r="AC282" s="446">
        <v>0</v>
      </c>
      <c r="AD282" s="446">
        <f t="shared" si="75"/>
        <v>0</v>
      </c>
      <c r="AE282" s="446">
        <v>0</v>
      </c>
      <c r="AF282" s="447">
        <f t="shared" si="71"/>
        <v>14048.736790597115</v>
      </c>
      <c r="AG282" s="452">
        <f t="shared" si="73"/>
        <v>474.97400281213589</v>
      </c>
      <c r="AH282" s="453">
        <f t="shared" si="70"/>
        <v>22.622093193690553</v>
      </c>
      <c r="AI282" s="104">
        <v>0</v>
      </c>
      <c r="AJ282" s="454">
        <f t="shared" si="76"/>
        <v>0.4220931936905572</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32.248125894379569</v>
      </c>
      <c r="R283" s="1309">
        <f>(K$15+N$15+1-$J$15)*$O$2+$E$45+25</f>
        <v>282.04489795918369</v>
      </c>
      <c r="S283" s="1309">
        <v>0</v>
      </c>
      <c r="T283" s="1309">
        <f t="shared" si="78"/>
        <v>225.81632653061223</v>
      </c>
      <c r="U283" s="450">
        <f t="shared" si="67"/>
        <v>1</v>
      </c>
      <c r="V283" s="450">
        <v>0</v>
      </c>
      <c r="W283" s="450">
        <f t="shared" si="74"/>
        <v>0.93028661877149921</v>
      </c>
      <c r="X283" s="451">
        <f t="shared" si="62"/>
        <v>1</v>
      </c>
      <c r="Y283" s="446">
        <f t="shared" si="63"/>
        <v>9752.4414498313672</v>
      </c>
      <c r="Z283" s="446">
        <f t="shared" si="68"/>
        <v>5726.5920620017478</v>
      </c>
      <c r="AA283" s="446">
        <v>0</v>
      </c>
      <c r="AB283" s="446">
        <v>0</v>
      </c>
      <c r="AC283" s="446">
        <v>0</v>
      </c>
      <c r="AD283" s="446">
        <f t="shared" si="75"/>
        <v>0</v>
      </c>
      <c r="AE283" s="446">
        <v>0</v>
      </c>
      <c r="AF283" s="447">
        <f t="shared" si="71"/>
        <v>15479.033511833115</v>
      </c>
      <c r="AG283" s="452">
        <f t="shared" si="73"/>
        <v>479.99792491913183</v>
      </c>
      <c r="AH283" s="453">
        <f t="shared" si="70"/>
        <v>24.301874105620428</v>
      </c>
      <c r="AI283" s="104">
        <v>0</v>
      </c>
      <c r="AJ283" s="454">
        <f t="shared" si="76"/>
        <v>-2.2481258943795694</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34.918344982449696</v>
      </c>
      <c r="R284" s="1309">
        <f>(L$15+N$15+1-$J$15)*$O$2+$E$45+25</f>
        <v>322.2081632653061</v>
      </c>
      <c r="S284" s="1309">
        <v>0</v>
      </c>
      <c r="T284" s="1309">
        <f t="shared" si="78"/>
        <v>225.81632653061223</v>
      </c>
      <c r="U284" s="450">
        <f t="shared" si="67"/>
        <v>1</v>
      </c>
      <c r="V284" s="450">
        <v>0</v>
      </c>
      <c r="W284" s="450">
        <f t="shared" si="74"/>
        <v>0.85914724810349108</v>
      </c>
      <c r="X284" s="451">
        <f t="shared" si="62"/>
        <v>1</v>
      </c>
      <c r="Y284" s="446">
        <f t="shared" si="63"/>
        <v>10708.563160599149</v>
      </c>
      <c r="Z284" s="446">
        <f t="shared" si="68"/>
        <v>6200.7670724699692</v>
      </c>
      <c r="AA284" s="446">
        <v>0</v>
      </c>
      <c r="AB284" s="446">
        <v>0</v>
      </c>
      <c r="AC284" s="446">
        <v>0</v>
      </c>
      <c r="AD284" s="446">
        <f t="shared" si="75"/>
        <v>0</v>
      </c>
      <c r="AE284" s="446">
        <v>0</v>
      </c>
      <c r="AF284" s="447">
        <f t="shared" si="71"/>
        <v>16909.330233069119</v>
      </c>
      <c r="AG284" s="452">
        <f t="shared" si="73"/>
        <v>484.25348456714988</v>
      </c>
      <c r="AH284" s="453">
        <f t="shared" si="70"/>
        <v>25.981655017550295</v>
      </c>
      <c r="AI284" s="104">
        <v>0</v>
      </c>
      <c r="AJ284" s="454">
        <f t="shared" si="76"/>
        <v>-4.9183449824496961</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election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0.30745805848463509</v>
      </c>
      <c r="D2" s="371">
        <f>10/(20+1/('Damage Calc'!I80*'Damage Calc'!L80))</f>
        <v>0.30745805848704666</v>
      </c>
      <c r="E2" s="120">
        <f>IF(OR(trinket1="Dragonspine Trophy",trinket2="Dragonspine Trophy"),325*(D2-itDSTup)*dpsHaste,0)</f>
        <v>2.8774865460160999E-9</v>
      </c>
      <c r="F2" s="6" t="s">
        <v>2306</v>
      </c>
      <c r="G2" s="504" t="s">
        <v>3148</v>
      </c>
    </row>
    <row r="3" spans="1:7">
      <c r="A3" s="6" t="s">
        <v>133</v>
      </c>
      <c r="B3" s="371">
        <v>0.51822366498619798</v>
      </c>
      <c r="C3" s="371">
        <v>0.55805079602964447</v>
      </c>
      <c r="D3" s="371">
        <f>1-(1-'Damage Calc'!L47)^(10*'Damage Calc'!I47)-IF(time=0,0,(1-'Damage Calc'!L47)^(10*'Damage Calc'!I47)*0.5*10/time)</f>
        <v>0.55805079604022134</v>
      </c>
      <c r="E3" s="120">
        <f>IF(OR(trinket1="Madness of the Betrayer",trinket2="Madness of the Betrayer"),300*(D3-itMotBup)*dpsArmor,0)</f>
        <v>0</v>
      </c>
      <c r="F3" s="6" t="s">
        <v>2307</v>
      </c>
      <c r="G3" s="504" t="s">
        <v>3146</v>
      </c>
    </row>
    <row r="4" spans="1:7">
      <c r="A4" s="6" t="s">
        <v>990</v>
      </c>
      <c r="B4" s="371">
        <v>0.40234326580194024</v>
      </c>
      <c r="C4" s="371">
        <v>0.40461321853523252</v>
      </c>
      <c r="D4" s="371">
        <f>20/(45+1/('Damage Calc'!K47*10%))</f>
        <v>0.40461321853616766</v>
      </c>
      <c r="E4" s="120">
        <f>IF(OR(trinket1="Shard of Contempt",trinket2="Shard of Contempt"),230*(D4-itSoCup)*dpsAP,0)</f>
        <v>0</v>
      </c>
      <c r="F4" s="6" t="s">
        <v>2308</v>
      </c>
      <c r="G4" s="504"/>
    </row>
    <row r="5" spans="1:7">
      <c r="A5" s="6" t="s">
        <v>142</v>
      </c>
      <c r="B5" s="371">
        <v>0.16552127638323519</v>
      </c>
      <c r="C5" s="371">
        <v>0.15754232759056705</v>
      </c>
      <c r="D5" s="371">
        <f>10/(45+1/('Damage Calc'!K58*10%))</f>
        <v>0.15754232759794795</v>
      </c>
      <c r="E5" s="120">
        <f>IF(OR(trinket1="Tsunami Talisman",trinket2="Tsunami Talisman"),340*(D5-itTTup)*dpsAP,0)</f>
        <v>0</v>
      </c>
      <c r="F5" s="6" t="s">
        <v>2310</v>
      </c>
      <c r="G5" s="504" t="s">
        <v>76</v>
      </c>
    </row>
    <row r="6" spans="1:7">
      <c r="A6" s="6" t="s">
        <v>249</v>
      </c>
      <c r="B6" s="371">
        <v>0.36728593906401125</v>
      </c>
      <c r="C6" s="371">
        <v>0.36836514501568424</v>
      </c>
      <c r="D6" s="371">
        <f>15/(30+1/(('Damage Calc'!Q17+'Damage Calc'!Q18)*25%))</f>
        <v>0.36836514501650292</v>
      </c>
      <c r="E6" s="120">
        <f>IF(OR(trinket1="Warp-Spring Coil",trinket2="Warp-Spring Coil"),1000*(D6-itWSCup)*dpsArmor,0)</f>
        <v>0</v>
      </c>
      <c r="F6" s="6" t="s">
        <v>2311</v>
      </c>
      <c r="G6" s="504" t="s">
        <v>3151</v>
      </c>
    </row>
    <row r="7" spans="1:7">
      <c r="A7" s="6" t="s">
        <v>250</v>
      </c>
      <c r="B7" s="371">
        <v>0.52329256506102406</v>
      </c>
      <c r="C7" s="371">
        <v>0.56461622929703148</v>
      </c>
      <c r="D7" s="371">
        <f>1-(1-'Damage Calc'!L48)^(15*'Damage Calc'!I48)-IF(time=0,0,(1-'Damage Calc'!L48)^(15*'Damage Calc'!I48)*0.5*15/time)</f>
        <v>0.5646162293067517</v>
      </c>
      <c r="E7" s="120">
        <f>IF('Gear &amp; Buffs'!B11="Mongoose",120*(D7-enMnMHup)*dpsAgi+2*hasterate*(D7-enMnMHup)*dpsHaste,0)</f>
        <v>2.0903865101047316E-9</v>
      </c>
      <c r="F7" s="6" t="s">
        <v>2307</v>
      </c>
      <c r="G7" s="504" t="s">
        <v>3149</v>
      </c>
    </row>
    <row r="8" spans="1:7">
      <c r="A8" s="6" t="s">
        <v>251</v>
      </c>
      <c r="B8" s="371">
        <v>0.29969713673447618</v>
      </c>
      <c r="C8" s="371">
        <v>0.30968688862824323</v>
      </c>
      <c r="D8" s="371">
        <f>1-(1-'Damage Calc'!L49)^(15*'Damage Calc'!I49)-IF(time=0,0,(1-'Damage Calc'!L49)^(15*'Damage Calc'!I49)*0.5*15/time)</f>
        <v>0.30968688863765104</v>
      </c>
      <c r="E8" s="120">
        <f>IF('Gear &amp; Buffs'!B17="Mongoose",120*(D8-enMnOHup)*dpsAgi+2*hasterate*(D8-enMnOHup)*dpsHaste,0)</f>
        <v>2.0231996081557784E-9</v>
      </c>
      <c r="F8" s="6" t="s">
        <v>2307</v>
      </c>
      <c r="G8" s="504" t="s">
        <v>3150</v>
      </c>
    </row>
    <row r="9" spans="1:7">
      <c r="A9" s="6" t="s">
        <v>1927</v>
      </c>
      <c r="B9" s="371">
        <v>0.52329256506102406</v>
      </c>
      <c r="C9" s="371">
        <v>0.56461622929703148</v>
      </c>
      <c r="D9" s="371">
        <f>1-(1-'Damage Calc'!L48)^(15*'Damage Calc'!I48)-IF(time=0,0,(1-'Damage Calc'!L48)^(15*'Damage Calc'!I48)*0.5*15/time)</f>
        <v>0.5646162293067517</v>
      </c>
      <c r="E9" s="120">
        <f>IF(AND('Gear &amp; Buffs'!B11="Executioner",NOT('Gear &amp; Buffs'!B17="Executioner")),840*(D9-enExMHup)*dpsArmor,0)</f>
        <v>0</v>
      </c>
      <c r="F9" s="6" t="s">
        <v>2307</v>
      </c>
      <c r="G9" s="504"/>
    </row>
    <row r="10" spans="1:7">
      <c r="A10" s="6" t="s">
        <v>1928</v>
      </c>
      <c r="B10" s="371">
        <v>0.29969713673447618</v>
      </c>
      <c r="C10" s="371">
        <v>0.30968688862824323</v>
      </c>
      <c r="D10" s="371">
        <f>1-(1-'Damage Calc'!L49)^(15*'Damage Calc'!I49)-IF(time=0,0,(1-'Damage Calc'!L49)^(15*'Damage Calc'!I49)*0.5*15/time)</f>
        <v>0.30968688863765104</v>
      </c>
      <c r="E10" s="120">
        <f>IF(AND(NOT('Gear &amp; Buffs'!B11="Executioner"),'Gear &amp; Buffs'!B17="Executioner"),840*(D10-enExOHup)*dpsArmor,0)</f>
        <v>0</v>
      </c>
      <c r="F10" s="6" t="s">
        <v>2307</v>
      </c>
      <c r="G10" s="504" t="s">
        <v>3145</v>
      </c>
    </row>
    <row r="11" spans="1:7" ht="12" thickBot="1">
      <c r="A11" s="6" t="s">
        <v>1929</v>
      </c>
      <c r="B11" s="371">
        <v>0.66559851660962344</v>
      </c>
      <c r="C11" s="371">
        <v>0.70622521138666938</v>
      </c>
      <c r="D11" s="371">
        <f>1-(1-'Damage Calc'!L47)^(15*'Damage Calc'!I47)-IF(time=0,0,(1-'Damage Calc'!L47)^(15*'Damage Calc'!I47)*0.5*15/time)</f>
        <v>0.70622521139721539</v>
      </c>
      <c r="E11" s="120">
        <f>IF(AND('Gear &amp; Buffs'!B11="Executioner",'Gear &amp; Buffs'!B17="Executioner"),840*(D11-enExBHup)*dpsArmor,0)</f>
        <v>0</v>
      </c>
      <c r="F11" s="6" t="s">
        <v>2307</v>
      </c>
      <c r="G11" s="505"/>
    </row>
    <row r="12" spans="1:7">
      <c r="A12" s="6" t="s">
        <v>1719</v>
      </c>
      <c r="B12" s="371">
        <v>0.15286968379242344</v>
      </c>
      <c r="C12" s="371">
        <v>0.14603869001865863</v>
      </c>
      <c r="D12" s="371">
        <f>10/(50+1/('Damage Calc'!K58*10%))</f>
        <v>0.14603869002500103</v>
      </c>
      <c r="E12" s="120">
        <f>IF(OR(trinket1="Hourglass of the Unraveller",trinket2="Hourglass of the Unraveller"),300*(D12-itHGup)*dpsAP,0)</f>
        <v>0</v>
      </c>
      <c r="F12" s="6" t="s">
        <v>2875</v>
      </c>
    </row>
    <row r="13" spans="1:7">
      <c r="A13" s="6" t="s">
        <v>523</v>
      </c>
      <c r="B13" s="371">
        <v>0.20773092034110976</v>
      </c>
      <c r="C13" s="371">
        <v>0.20853630167431206</v>
      </c>
      <c r="D13" s="371">
        <f>10/(45+1/('Damage Calc'!K47*15%))</f>
        <v>0.20853630167464327</v>
      </c>
      <c r="E13" s="120">
        <f>IF(Neck="Shattered Sun Pendant of Might (Aldor)",200*(D13-itSSPMAup)*dpsAP,0)</f>
        <v>0</v>
      </c>
      <c r="F13" s="6" t="s">
        <v>2871</v>
      </c>
    </row>
    <row r="14" spans="1:7">
      <c r="A14" s="6" t="s">
        <v>2312</v>
      </c>
      <c r="B14" s="217">
        <v>48.139198457212096</v>
      </c>
      <c r="C14" s="217">
        <v>47.953281609538685</v>
      </c>
      <c r="D14" s="217">
        <f>(45+1/('Damage Calc'!K47*15%))</f>
        <v>47.953281609462522</v>
      </c>
      <c r="E14" s="120">
        <v>0</v>
      </c>
      <c r="F14" s="6" t="s">
        <v>2871</v>
      </c>
    </row>
    <row r="15" spans="1:7">
      <c r="A15" s="6" t="s">
        <v>525</v>
      </c>
      <c r="B15" s="371">
        <v>0.20773092034110976</v>
      </c>
      <c r="C15" s="371">
        <v>0.20853630167431206</v>
      </c>
      <c r="D15" s="371">
        <f>10/(45+1/('Damage Calc'!K47*15%))</f>
        <v>0.20853630167464327</v>
      </c>
      <c r="E15" s="120">
        <v>0</v>
      </c>
      <c r="F15" s="6" t="s">
        <v>2871</v>
      </c>
    </row>
    <row r="16" spans="1:7">
      <c r="A16" s="6" t="s">
        <v>524</v>
      </c>
      <c r="B16" s="371">
        <v>0.20773092034110976</v>
      </c>
      <c r="C16" s="371">
        <v>0.20853630167431206</v>
      </c>
      <c r="D16" s="371">
        <f>10/(45+1/('Damage Calc'!K47*15%))</f>
        <v>0.20853630167464327</v>
      </c>
      <c r="E16" s="120">
        <f>IF(Neck="Shattered Sun Pendant of Resolve (Scryer)",100*(D16-itSSPRSup)*dpsExp,0)</f>
        <v>0</v>
      </c>
      <c r="F16" s="6" t="s">
        <v>2871</v>
      </c>
    </row>
    <row r="17" spans="1:6">
      <c r="A17" s="6" t="s">
        <v>1133</v>
      </c>
      <c r="B17" s="371">
        <v>0.52329256506102406</v>
      </c>
      <c r="C17" s="371">
        <v>0.56461622929703148</v>
      </c>
      <c r="D17" s="371">
        <f>1-(1-'Damage Calc'!L48)^(15*'Damage Calc'!I48)-IF(time=0,0,(1-'Damage Calc'!L48)^(15*'Damage Calc'!I48)*0.5*15/time)</f>
        <v>0.5646162293067517</v>
      </c>
      <c r="E17" s="120">
        <f>IF('Gear &amp; Buffs'!B11="Crusader",60*(D17-enCrMHup)*dpsStr,0)</f>
        <v>0</v>
      </c>
      <c r="F17" s="6" t="s">
        <v>2307</v>
      </c>
    </row>
    <row r="18" spans="1:6">
      <c r="A18" s="6" t="s">
        <v>1134</v>
      </c>
      <c r="B18" s="371">
        <v>0.29969713673447618</v>
      </c>
      <c r="C18" s="371">
        <v>0.30968688862824323</v>
      </c>
      <c r="D18" s="371">
        <f>1-(1-'Damage Calc'!L49)^(15*'Damage Calc'!I49)-IF(time=0,0,(1-'Damage Calc'!L49)^(15*'Damage Calc'!I49)*0.5*15/time)</f>
        <v>0.30968688863765104</v>
      </c>
      <c r="E18" s="120">
        <f>IF('Gear &amp; Buffs'!B17="Crusader",60*(D18-enCrOHup)*dpsStr,0)</f>
        <v>0</v>
      </c>
      <c r="F18" s="6" t="s">
        <v>2307</v>
      </c>
    </row>
    <row r="19" spans="1:6">
      <c r="A19" s="6" t="s">
        <v>100</v>
      </c>
      <c r="B19" s="371">
        <v>0.19619316642458101</v>
      </c>
      <c r="C19" s="371">
        <v>0.19931560431833412</v>
      </c>
      <c r="D19" s="371">
        <f>10/(45+1/('Damage Calc'!K48*15%))</f>
        <v>0.1993156043188698</v>
      </c>
      <c r="E19" s="120">
        <f>IF('Gear &amp; Buffs'!B12="Righteous Weapon Coating",300*(D19-enRWCmhUP)*dpsAP,0)</f>
        <v>0</v>
      </c>
      <c r="F19" s="6" t="s">
        <v>36</v>
      </c>
    </row>
    <row r="20" spans="1:6">
      <c r="A20" s="6" t="s">
        <v>101</v>
      </c>
      <c r="B20" s="371">
        <v>0.19372270034175654</v>
      </c>
      <c r="C20" s="371">
        <v>0.19618939954367975</v>
      </c>
      <c r="D20" s="371">
        <f>10/(45+1/('Damage Calc'!K49*15%))</f>
        <v>0.19618939954447212</v>
      </c>
      <c r="E20" s="120">
        <f>IF('Gear &amp; Buffs'!B18="Righteous Weapon Coating",300*(D20-enRWCohUP)*dpsAP,0)</f>
        <v>0</v>
      </c>
      <c r="F20" s="6" t="s">
        <v>36</v>
      </c>
    </row>
    <row r="21" spans="1:6">
      <c r="A21" s="6" t="s">
        <v>102</v>
      </c>
      <c r="B21" s="371">
        <v>0.20773092034110976</v>
      </c>
      <c r="C21" s="371">
        <v>0.20853630167431206</v>
      </c>
      <c r="D21" s="371">
        <f>10/(45+1/('Damage Calc'!K47*15%))</f>
        <v>0.20853630167464327</v>
      </c>
      <c r="E21" s="120">
        <f>IF(AND('Gear &amp; Buffs'!B12="Righteous Weapon Coating",'Gear &amp; Buffs'!B18="Righteous Weapon Coating"),300*(D21-enRWCbhUP)*dpsAP,0)</f>
        <v>0</v>
      </c>
      <c r="F21" s="6" t="s">
        <v>36</v>
      </c>
    </row>
    <row r="22" spans="1:6">
      <c r="A22" s="6" t="s">
        <v>2059</v>
      </c>
      <c r="B22" s="371">
        <v>0.25646610678141257</v>
      </c>
      <c r="C22" s="371">
        <v>0.28289834939260311</v>
      </c>
      <c r="D22" s="371">
        <f>1-(1-'Damage Calc'!L48)^(6*'Damage Calc'!I48)-IF(time=0,0,(1-'Damage Calc'!L48)^(6*'Damage Calc'!I48)*0.5*6/time)</f>
        <v>0.28289834939900699</v>
      </c>
      <c r="E22" s="120">
        <v>0</v>
      </c>
      <c r="F22" s="6" t="s">
        <v>2307</v>
      </c>
    </row>
    <row r="23" spans="1:6">
      <c r="A23" s="6" t="s">
        <v>2060</v>
      </c>
      <c r="B23" s="371">
        <v>0.13280980102516837</v>
      </c>
      <c r="C23" s="371">
        <v>0.13915354961705079</v>
      </c>
      <c r="D23" s="371">
        <f>1-(1-'Damage Calc'!L49)^(6*'Damage Calc'!I49)-IF(time=0,0,(1-'Damage Calc'!L48)^(6*'Damage Calc'!I48)*0.5*6/time)</f>
        <v>0.13915354962176826</v>
      </c>
      <c r="E23" s="120">
        <v>0</v>
      </c>
      <c r="F23" s="6" t="s">
        <v>2307</v>
      </c>
    </row>
    <row r="24" spans="1:6">
      <c r="A24" s="6" t="s">
        <v>2061</v>
      </c>
      <c r="B24" s="371">
        <v>0.35478080629916287</v>
      </c>
      <c r="C24" s="371">
        <v>0.38628062882602804</v>
      </c>
      <c r="D24" s="371">
        <f>1-(1-'Damage Calc'!L47)^(6*'Damage Calc'!I47)-IF(time=0,0,(1-'Damage Calc'!L48)^(6*'Damage Calc'!I48)*0.5*6/time)</f>
        <v>0.38628062883480224</v>
      </c>
      <c r="E24" s="120">
        <v>0</v>
      </c>
      <c r="F24" s="6" t="s">
        <v>2307</v>
      </c>
    </row>
    <row r="25" spans="1:6">
      <c r="A25" s="6" t="s">
        <v>2063</v>
      </c>
      <c r="B25" s="371">
        <v>4.8388681306019823E-2</v>
      </c>
      <c r="C25" s="371">
        <v>5.5859707066448036E-2</v>
      </c>
      <c r="D25" s="371">
        <f>'Damage Calc'!L48*'Damage Calc'!I48</f>
        <v>5.5859707067904482E-2</v>
      </c>
      <c r="E25" s="120">
        <v>0</v>
      </c>
      <c r="F25" s="6" t="s">
        <v>2307</v>
      </c>
    </row>
    <row r="26" spans="1:6">
      <c r="A26" s="6" t="s">
        <v>2064</v>
      </c>
      <c r="B26" s="371">
        <v>2.349719128761122E-2</v>
      </c>
      <c r="C26" s="371">
        <v>2.6051173437619746E-2</v>
      </c>
      <c r="D26" s="371">
        <f>'Damage Calc'!L49*'Damage Calc'!I49</f>
        <v>2.6051173438517868E-2</v>
      </c>
      <c r="E26" s="120">
        <v>0</v>
      </c>
      <c r="F26" s="6" t="s">
        <v>2307</v>
      </c>
    </row>
    <row r="27" spans="1:6">
      <c r="A27" s="6" t="s">
        <v>1673</v>
      </c>
      <c r="B27" s="371">
        <v>0.16890115759854415</v>
      </c>
      <c r="C27" s="371">
        <v>0.17404929717337869</v>
      </c>
      <c r="D27" s="371">
        <f>10/(45+1/('Damage Calc'!I89*'Damage Calc'!L89))</f>
        <v>0.17404929717430337</v>
      </c>
      <c r="E27" s="120">
        <f>IF(SetTB2p, 450*(D27-stTwinUP)*dpsHaste, 0)</f>
        <v>0</v>
      </c>
      <c r="F27" s="6" t="s">
        <v>1674</v>
      </c>
    </row>
    <row r="28" spans="1:6">
      <c r="A28" s="6" t="s">
        <v>2004</v>
      </c>
      <c r="B28" s="371">
        <v>0.40234326580194024</v>
      </c>
      <c r="C28" s="371">
        <v>0.40461321853523252</v>
      </c>
      <c r="D28" s="371">
        <f>20/(45+1/('Damage Calc'!K47*10%))</f>
        <v>0.40461321853616766</v>
      </c>
      <c r="E28" s="120">
        <f>IF(OR(trinket1="Blackened Naaru Sliver",trinket2="Blackened Naaru Sliver"),(D29*D28-C29*C28)*dpsAP,0)</f>
        <v>0</v>
      </c>
      <c r="F28" s="6" t="s">
        <v>2308</v>
      </c>
    </row>
    <row r="29" spans="1:6">
      <c r="A29" s="6" t="s">
        <v>2005</v>
      </c>
      <c r="B29" s="217">
        <v>393.38290291040045</v>
      </c>
      <c r="C29" s="217">
        <v>398.84515385713297</v>
      </c>
      <c r="D29" s="217">
        <f>Trinket!AG43</f>
        <v>398.84515385836659</v>
      </c>
      <c r="E29" s="120"/>
    </row>
    <row r="30" spans="1:6">
      <c r="A30" s="6" t="s">
        <v>1088</v>
      </c>
      <c r="B30" s="371">
        <v>2.1214511306480888E-2</v>
      </c>
      <c r="C30" s="371">
        <v>2.3419834716731591E-2</v>
      </c>
      <c r="D30" s="371">
        <f>1-(1-'Damage Calc'!L47)^(MIN((Cycles!J15*Cycles!O2+25-5*relent-25*dm4p1)/Cycles!C7,20)/'Damage Calc'!J47)</f>
        <v>2.3419834716967181E-2</v>
      </c>
      <c r="E30" s="120"/>
    </row>
    <row r="31" spans="1:6">
      <c r="A31" s="6" t="s">
        <v>1079</v>
      </c>
      <c r="B31" s="371">
        <v>4.1778695251399434E-2</v>
      </c>
      <c r="C31" s="371">
        <v>4.6089513456536557E-2</v>
      </c>
      <c r="D31" s="371">
        <f>1-(1-'Damage Calc'!L47)^(MIN((Cycles!K15*Cycles!O2+25-10*relent-25*dm4p1)/Cycles!C7,20)/'Damage Calc'!J47)</f>
        <v>4.6089513457245879E-2</v>
      </c>
      <c r="E31" s="120"/>
    </row>
    <row r="32" spans="1:6">
      <c r="A32" s="6" t="s">
        <v>1080</v>
      </c>
      <c r="B32" s="371">
        <v>6.1910827775240151E-2</v>
      </c>
      <c r="C32" s="371">
        <v>6.8232953437420085E-2</v>
      </c>
      <c r="D32" s="371">
        <f>1-(1-'Damage Calc'!L47)^(MIN((Cycles!L15*Cycles!O2+25-15*relent-25*dm4p1)/Cycles!C7,20)/'Damage Calc'!J47)</f>
        <v>6.8232953438580934E-2</v>
      </c>
      <c r="E32" s="120"/>
    </row>
    <row r="33" spans="1:6">
      <c r="A33" s="6" t="s">
        <v>1081</v>
      </c>
      <c r="B33" s="371">
        <v>8.1619986234583441E-2</v>
      </c>
      <c r="C33" s="371">
        <v>8.9862370413939963E-2</v>
      </c>
      <c r="D33" s="371">
        <f>1-(1-'Damage Calc'!L47)^(MIN((Cycles!M15*Cycles!O2+25-20*relent-25*dm4p1)/Cycles!C7,20)/'Damage Calc'!J47)</f>
        <v>8.9862370415531134E-2</v>
      </c>
      <c r="E33" s="120"/>
    </row>
    <row r="34" spans="1:6">
      <c r="A34" s="6" t="s">
        <v>1082</v>
      </c>
      <c r="B34" s="371">
        <v>0.10091505727166783</v>
      </c>
      <c r="C34" s="371">
        <v>0.11098969657229885</v>
      </c>
      <c r="D34" s="371">
        <f>1-(1-'Damage Calc'!L47)^(MIN((Cycles!N15*Cycles!O2+25-25*relent-25*dm4p1)/Cycles!C7,20)/'Damage Calc'!J47)</f>
        <v>0.11098969657429958</v>
      </c>
      <c r="E34" s="120"/>
    </row>
    <row r="35" spans="1:6">
      <c r="A35" s="6" t="s">
        <v>1083</v>
      </c>
      <c r="B35" s="371">
        <v>2.1214511306480888E-2</v>
      </c>
      <c r="C35" s="371">
        <v>2.3419834716731591E-2</v>
      </c>
      <c r="D35" s="371">
        <f>1-(1-'Damage Calc'!L47)^(MIN((Cycles!J15*Cycles!O2+Cycles!O3-5*relent-25*dm4p1)/Cycles!C7,20)/'Damage Calc'!J47)</f>
        <v>2.3419834716967181E-2</v>
      </c>
      <c r="E35" s="120"/>
    </row>
    <row r="36" spans="1:6">
      <c r="A36" s="6" t="s">
        <v>1084</v>
      </c>
      <c r="B36" s="371">
        <v>4.1778695251399434E-2</v>
      </c>
      <c r="C36" s="371">
        <v>4.6089513456536557E-2</v>
      </c>
      <c r="D36" s="371">
        <f>1-(1-'Damage Calc'!L47)^(MIN((Cycles!K15*Cycles!O2+Cycles!O3-10*relent-25*dm4p1)/Cycles!C7,20)/'Damage Calc'!J47)</f>
        <v>4.6089513457245879E-2</v>
      </c>
      <c r="E36" s="120"/>
    </row>
    <row r="37" spans="1:6">
      <c r="A37" s="6" t="s">
        <v>1085</v>
      </c>
      <c r="B37" s="371">
        <v>6.1910827775240151E-2</v>
      </c>
      <c r="C37" s="371">
        <v>6.8232953437420085E-2</v>
      </c>
      <c r="D37" s="371">
        <f>1-(1-'Damage Calc'!L47)^(MIN((Cycles!L15*Cycles!O2+Cycles!O3-15*relent-25*dm4p1)/Cycles!C7,20)/'Damage Calc'!J47)</f>
        <v>6.8232953438580934E-2</v>
      </c>
      <c r="E37" s="120"/>
    </row>
    <row r="38" spans="1:6">
      <c r="A38" s="6" t="s">
        <v>1086</v>
      </c>
      <c r="B38" s="371">
        <v>8.1619986234583441E-2</v>
      </c>
      <c r="C38" s="371">
        <v>8.9862370413939963E-2</v>
      </c>
      <c r="D38" s="371">
        <f>1-(1-'Damage Calc'!L47)^(MIN((Cycles!M15*Cycles!O2+Cycles!O3-20*relent-25*dm4p1)/Cycles!C7,20)/'Damage Calc'!J47)</f>
        <v>8.9862370415531134E-2</v>
      </c>
      <c r="E38" s="120"/>
    </row>
    <row r="39" spans="1:6">
      <c r="A39" s="6" t="s">
        <v>1087</v>
      </c>
      <c r="B39" s="371">
        <v>0.10091505727166783</v>
      </c>
      <c r="C39" s="371">
        <v>0.11098969657229885</v>
      </c>
      <c r="D39" s="371">
        <f>1-(1-'Damage Calc'!L47)^(MIN((Cycles!N15*Cycles!O2+Cycles!O3-25*relent-25*dm4p1)/Cycles!C7,20)/'Damage Calc'!J47)</f>
        <v>0.11098969657429958</v>
      </c>
      <c r="E39" s="120"/>
    </row>
    <row r="40" spans="1:6">
      <c r="A40" s="6" t="s">
        <v>1093</v>
      </c>
      <c r="B40" s="371">
        <v>2.7100225771663156E-2</v>
      </c>
      <c r="C40" s="371">
        <v>2.9921082443484015E-2</v>
      </c>
      <c r="D40" s="371">
        <f>1-(1-'Damage Calc'!L47)^(MIN((Cycles!J15*Cycles!O2+Cycles!O4-5*relent-25*dm4p1)/Cycles!C7,20)/'Damage Calc'!J47)</f>
        <v>2.9921082443856717E-2</v>
      </c>
      <c r="E40" s="120"/>
    </row>
    <row r="41" spans="1:6">
      <c r="A41" s="6" t="s">
        <v>1089</v>
      </c>
      <c r="B41" s="371">
        <v>4.7540751452020746E-2</v>
      </c>
      <c r="C41" s="371">
        <v>5.2439845567128995E-2</v>
      </c>
      <c r="D41" s="371">
        <f>1-(1-'Damage Calc'!L47)^(MIN((Cycles!K15*Cycles!O2+Cycles!O4-10*relent-25*dm4p1)/Cycles!C7,20)/'Damage Calc'!J47)</f>
        <v>5.243984556796899E-2</v>
      </c>
      <c r="E41" s="120"/>
    </row>
    <row r="42" spans="1:6">
      <c r="A42" s="6" t="s">
        <v>1090</v>
      </c>
      <c r="B42" s="371">
        <v>6.7551823758909557E-2</v>
      </c>
      <c r="C42" s="371">
        <v>7.4435873186021295E-2</v>
      </c>
      <c r="D42" s="371">
        <f>1-(1-'Damage Calc'!L47)^(MIN((Cycles!L15*Cycles!O2+Cycles!O4-15*relent-25*dm4p1)/Cycles!C7,20)/'Damage Calc'!J47)</f>
        <v>7.4435873187306711E-2</v>
      </c>
      <c r="E42" s="120"/>
    </row>
    <row r="43" spans="1:6">
      <c r="A43" s="6" t="s">
        <v>1091</v>
      </c>
      <c r="B43" s="371">
        <v>8.7142465464193131E-2</v>
      </c>
      <c r="C43" s="371">
        <v>9.5921299732519838E-2</v>
      </c>
      <c r="D43" s="371">
        <f>1-(1-'Damage Calc'!L47)^(MIN((Cycles!M15*Cycles!O2+Cycles!O4-20*relent-25*dm4p1)/Cycles!C7,20)/'Damage Calc'!J47)</f>
        <v>9.592129973422947E-2</v>
      </c>
      <c r="E43" s="120"/>
    </row>
    <row r="44" spans="1:6">
      <c r="A44" s="6" t="s">
        <v>1092</v>
      </c>
      <c r="B44" s="371">
        <v>0.10632150977221233</v>
      </c>
      <c r="C44" s="371">
        <v>0.11690797795838703</v>
      </c>
      <c r="D44" s="371">
        <f>1-(1-'Damage Calc'!L47)^(MIN((Cycles!N15*Cycles!O2+Cycles!O4-25*relent-25*dm4p1)/Cycles!C7,20)/'Damage Calc'!J47)</f>
        <v>0.11690797796050056</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12.890701630718777</v>
      </c>
      <c r="D46" s="217">
        <f>10*'Damage Calc'!K48</f>
        <v>12.890701631054879</v>
      </c>
      <c r="E46" s="120"/>
      <c r="F46" s="6" t="s">
        <v>3007</v>
      </c>
    </row>
    <row r="47" spans="1:6">
      <c r="A47" s="6" t="s">
        <v>3008</v>
      </c>
      <c r="B47" s="217">
        <v>10.070224837547666</v>
      </c>
      <c r="C47" s="217">
        <v>11.164788616122749</v>
      </c>
      <c r="D47" s="217">
        <f>10*'Damage Calc'!K49</f>
        <v>11.164788616507661</v>
      </c>
      <c r="E47" s="120"/>
      <c r="F47" s="6" t="s">
        <v>3007</v>
      </c>
    </row>
    <row r="48" spans="1:6">
      <c r="A48" s="6" t="s">
        <v>3011</v>
      </c>
      <c r="B48" s="371">
        <v>0.15209062457841166</v>
      </c>
      <c r="C48" s="371">
        <v>0.1588038157832907</v>
      </c>
      <c r="D48" s="371">
        <f>10/(45+1/('Damage Calc'!I107*'Damage Calc'!L107))</f>
        <v>0.15880381578442737</v>
      </c>
      <c r="E48" s="120">
        <f>IF(mh="The Bladefist", 180*(D48-itTBFup)*dpsHaste, 0)</f>
        <v>0</v>
      </c>
      <c r="F48" s="6" t="s">
        <v>1674</v>
      </c>
    </row>
    <row r="49" spans="1:6">
      <c r="A49" s="6" t="s">
        <v>2237</v>
      </c>
      <c r="B49" s="371">
        <v>0.38975913970519804</v>
      </c>
      <c r="C49" s="371">
        <v>0.42551658077038224</v>
      </c>
      <c r="D49" s="371">
        <f>1-(1-'Damage Calc'!$L$48)^(10*'Damage Calc'!$I$48)-IF(time=0,0,(1-'Damage Calc'!$L$48)^(10*'Damage Calc'!$I$48)*0.5*10/time)</f>
        <v>0.42551658077893256</v>
      </c>
      <c r="E49" s="120">
        <f>IF(mh="Heartrazor",270*(D49-itHRmhUP)*dpsAP,0)</f>
        <v>0</v>
      </c>
      <c r="F49" s="6" t="s">
        <v>2307</v>
      </c>
    </row>
    <row r="50" spans="1:6">
      <c r="A50" s="6" t="s">
        <v>2238</v>
      </c>
      <c r="B50" s="371">
        <v>0.2113991006769228</v>
      </c>
      <c r="C50" s="371">
        <v>0.21886381592184523</v>
      </c>
      <c r="D50" s="371">
        <f>1-(1-'Damage Calc'!$L$49)^(10*'Damage Calc'!$I$49)-IF(time=0,0,(1-'Damage Calc'!$L$49)^(10*'Damage Calc'!$I$49)*0.5*10/time)</f>
        <v>0.21886381592894222</v>
      </c>
      <c r="E50" s="120">
        <f>IF(mh="Heartrazor",270*(D50-itHRohUP)*dpsAP,0)</f>
        <v>0</v>
      </c>
      <c r="F50" s="6" t="s">
        <v>2307</v>
      </c>
    </row>
    <row r="51" spans="1:6">
      <c r="A51" s="6" t="s">
        <v>3014</v>
      </c>
      <c r="B51" s="371">
        <v>0.38975913970519804</v>
      </c>
      <c r="C51" s="371">
        <v>0.42551658077038224</v>
      </c>
      <c r="D51" s="371">
        <f>1-(1-'Damage Calc'!$L$48)^(10*'Damage Calc'!$I$48)-IF(time=0,0,(1-'Damage Calc'!$L$48)^(10*'Damage Calc'!$I$48)*0.5*10/time)</f>
        <v>0.42551658077893256</v>
      </c>
      <c r="E51" s="120"/>
      <c r="F51" s="6" t="s">
        <v>2307</v>
      </c>
    </row>
    <row r="52" spans="1:6">
      <c r="A52" s="6" t="s">
        <v>3013</v>
      </c>
      <c r="B52" s="371">
        <v>0.2113991006769228</v>
      </c>
      <c r="C52" s="371">
        <v>0.21886381592184523</v>
      </c>
      <c r="D52" s="371">
        <f>1-(1-'Damage Calc'!$L$49)^(10*'Damage Calc'!$I$49)-IF(time=0,0,(1-'Damage Calc'!$L$49)^(10*'Damage Calc'!$I$49)*0.5*10/time)</f>
        <v>0.21886381592894222</v>
      </c>
      <c r="E52" s="120"/>
      <c r="F52" s="6" t="s">
        <v>2307</v>
      </c>
    </row>
    <row r="53" spans="1:6">
      <c r="A53" s="6" t="s">
        <v>2409</v>
      </c>
      <c r="B53" s="217">
        <v>0.44805233509221709</v>
      </c>
      <c r="C53" s="217">
        <v>0.33464313455130362</v>
      </c>
      <c r="D53" s="217">
        <f>5*instsec*instcrit</f>
        <v>0.33464313459794059</v>
      </c>
      <c r="E53" s="120"/>
    </row>
    <row r="54" spans="1:6">
      <c r="A54" s="6" t="s">
        <v>2874</v>
      </c>
      <c r="B54" s="371">
        <v>0.31102727206362035</v>
      </c>
      <c r="C54" s="371">
        <v>0.33374978855329523</v>
      </c>
      <c r="D54" s="371">
        <f>'Damage Calc'!L47*(15-IF(CharLevel&gt;60,(CharLevel-60)*0.5,0))</f>
        <v>0.33374978855288123</v>
      </c>
      <c r="E54" s="120"/>
      <c r="F54" s="6" t="s">
        <v>2976</v>
      </c>
    </row>
    <row r="55" spans="1:6">
      <c r="A55" s="6" t="s">
        <v>2857</v>
      </c>
      <c r="B55" s="217">
        <v>63.710530801425953</v>
      </c>
      <c r="C55" s="217">
        <v>67.721276343586098</v>
      </c>
      <c r="D55" s="217">
        <f>30*'Damage Calc'!K47</f>
        <v>67.721276345332598</v>
      </c>
      <c r="E55" s="120"/>
      <c r="F55" s="6" t="s">
        <v>2976</v>
      </c>
    </row>
    <row r="56" spans="1:6">
      <c r="A56" s="6" t="s">
        <v>2870</v>
      </c>
      <c r="B56" s="371">
        <v>0.11108414712726833</v>
      </c>
      <c r="C56" s="371">
        <v>0.11473598614055038</v>
      </c>
      <c r="D56" s="371">
        <f>6/(40+1/('Damage Calc'!I98*'Damage Calc'!L98))</f>
        <v>0.11473598614127742</v>
      </c>
      <c r="E56" s="120"/>
      <c r="F56" s="6" t="s">
        <v>2872</v>
      </c>
    </row>
    <row r="57" spans="1:6">
      <c r="A57" s="6" t="s">
        <v>2877</v>
      </c>
      <c r="B57" s="371">
        <v>0.13529796960861193</v>
      </c>
      <c r="C57" s="371">
        <v>0.13848806152277199</v>
      </c>
      <c r="D57" s="371">
        <f>10/(60+1/('Damage Calc'!I47*'Damage Calc'!L47))</f>
        <v>0.13848806152344503</v>
      </c>
      <c r="E57" s="120">
        <f>IF(OR('Gear &amp; Buffs'!B66="Band of the Eternal Champion", 'Gear &amp; Buffs'!B68="Band of the Eternal Champion"), 160*(D57-C57)*dpsAP, 0)</f>
        <v>0</v>
      </c>
      <c r="F57" s="6" t="s">
        <v>2878</v>
      </c>
    </row>
    <row r="58" spans="1:6">
      <c r="A58" s="6" t="s">
        <v>3039</v>
      </c>
      <c r="B58" s="371">
        <v>0.47458276748102635</v>
      </c>
      <c r="C58" s="371">
        <v>0.48283016113548549</v>
      </c>
      <c r="D58" s="371">
        <f>1-(1-0.02)^(15*'Damage Calc'!K47)-IF(time=0,0,(1-0.02)^(15*'Damage Calc'!K47)*0.5*15/time)</f>
        <v>0.48283016114460947</v>
      </c>
      <c r="E58" s="120">
        <f>IF(ww4p, 160*(D58-C58)*dpsAP, 0)</f>
        <v>0</v>
      </c>
      <c r="F58" s="6" t="s">
        <v>3037</v>
      </c>
    </row>
    <row r="59" spans="1:6">
      <c r="A59" s="6" t="s">
        <v>3124</v>
      </c>
      <c r="B59" s="217">
        <v>120</v>
      </c>
      <c r="C59" s="217">
        <v>118.42031903694044</v>
      </c>
      <c r="D59" s="217">
        <f>Trinket!BA48</f>
        <v>118.42031903698782</v>
      </c>
      <c r="E59" s="120"/>
    </row>
    <row r="60" spans="1:6">
      <c r="A60" s="6" t="s">
        <v>3126</v>
      </c>
      <c r="B60" s="371">
        <v>1.2500000000000001E-2</v>
      </c>
      <c r="C60" s="371">
        <v>1.2171010761735034E-2</v>
      </c>
      <c r="D60" s="371">
        <f>2%*IF(CharLevel&gt;60,(CharLevel-60)*2/30,0)*(1-2%)^(2*'Damage Calc'!K47)</f>
        <v>1.2171010761706404E-2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6.99107266427661E-9</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Q42" sqref="Q42"/>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798.88394568987042</v>
      </c>
      <c r="C2" s="525">
        <f>bMHdam*bMHgfact</f>
        <v>599.16295926740281</v>
      </c>
      <c r="D2" s="526">
        <f>bMHdam*bMHcfact</f>
        <v>1645.7009281211331</v>
      </c>
      <c r="E2" s="526">
        <f>bMHdam*bMHhit+bMHgdam*bMHglan+bMHcdam*bMHcrit</f>
        <v>921.86363651015029</v>
      </c>
      <c r="F2" s="527">
        <f>1/bMHspd*bHaste</f>
        <v>0.47245947878901456</v>
      </c>
      <c r="G2" s="528">
        <f>bMHasec*bMHthit</f>
        <v>0.46280286797864395</v>
      </c>
      <c r="H2" s="529">
        <f>bMHasec*bMHcrit</f>
        <v>0.10446631487525405</v>
      </c>
      <c r="I2" s="530">
        <f>bMHadam*bMHasec*bGlobDam</f>
        <v>462.02424058391512</v>
      </c>
      <c r="J2" s="531">
        <f t="shared" ref="J2:J7" si="0">I2*armoradj</f>
        <v>342.72411171366298</v>
      </c>
      <c r="K2" s="109"/>
      <c r="O2" s="66" t="s">
        <v>1578</v>
      </c>
      <c r="Q2" s="68">
        <f>BaseMissPerc</f>
        <v>0.27</v>
      </c>
      <c r="R2" s="203"/>
      <c r="T2" s="27" t="s">
        <v>3095</v>
      </c>
      <c r="U2" s="107">
        <f>IF(CharLevel&lt;=60,(CharLevel-8)/52,IF(CharLevel&lt;=70,82/(262-3*CharLevel),82/52))</f>
        <v>1.5769230769230769</v>
      </c>
    </row>
    <row r="3" spans="1:21">
      <c r="A3" s="507" t="s">
        <v>109</v>
      </c>
      <c r="B3" s="329">
        <f>bMHdam</f>
        <v>798.88394568987042</v>
      </c>
      <c r="C3" s="340">
        <f>bMHgdam</f>
        <v>599.16295926740281</v>
      </c>
      <c r="D3" s="344">
        <f>bMHcdam</f>
        <v>1645.7009281211331</v>
      </c>
      <c r="E3" s="344">
        <f>bMHadam</f>
        <v>921.86363651015029</v>
      </c>
      <c r="F3" s="343">
        <f>(sndfact-1)*sndup*bMHasec</f>
        <v>0.14126538415791537</v>
      </c>
      <c r="G3" s="335">
        <f>(sndfact-1)*sndup*bMHhsec</f>
        <v>0.13837805752561455</v>
      </c>
      <c r="H3" s="350">
        <f>(sndfact-1)*sndup*bMHcsec</f>
        <v>3.1235428147700965E-2</v>
      </c>
      <c r="I3" s="347">
        <f>mhdps*(sndfact-1)*sndup</f>
        <v>138.14524793459066</v>
      </c>
      <c r="J3" s="508">
        <f t="shared" si="0"/>
        <v>102.47450940238527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798.88394568987042</v>
      </c>
      <c r="C4" s="534">
        <f>bMHgdam</f>
        <v>599.16295926740281</v>
      </c>
      <c r="D4" s="535">
        <f>bMHcdam</f>
        <v>1645.7009281211331</v>
      </c>
      <c r="E4" s="535">
        <f>(B2*B22*Q10+B2*B23*cfact+B2*B24)</f>
        <v>921.86363651015029</v>
      </c>
      <c r="F4" s="536">
        <f>bExAtt</f>
        <v>0.32133894904082283</v>
      </c>
      <c r="G4" s="537">
        <f>F4*bMHhit</f>
        <v>0.16659794784534146</v>
      </c>
      <c r="H4" s="538">
        <f>F4*bMHcrit</f>
        <v>7.1051798808703145E-2</v>
      </c>
      <c r="I4" s="539">
        <f>E4*F4*bGlobDam</f>
        <v>314.24151819572222</v>
      </c>
      <c r="J4" s="540">
        <f t="shared" si="0"/>
        <v>233.10063786062562</v>
      </c>
      <c r="K4" s="109"/>
      <c r="L4" s="66" t="s">
        <v>3004</v>
      </c>
      <c r="M4" s="68">
        <f>IF(time=0, 1-(Q43/(467.5*CharLevel+Q43-22167.5)), 'Cooldowns Calc'!AA1)</f>
        <v>0.74178816089935384</v>
      </c>
      <c r="O4" s="489" t="s">
        <v>397</v>
      </c>
      <c r="P4" s="68"/>
      <c r="Q4" s="68">
        <f>BaseParPerc</f>
        <v>0.14000000000000001</v>
      </c>
      <c r="T4" s="27" t="s">
        <v>3089</v>
      </c>
      <c r="U4" s="107">
        <f>14*conv</f>
        <v>22.076923076923077</v>
      </c>
    </row>
    <row r="5" spans="1:21">
      <c r="A5" s="523" t="s">
        <v>1438</v>
      </c>
      <c r="B5" s="524">
        <f>(bOHavg+bAP/APtoDPS*bOHspd)*bOHdamfac</f>
        <v>312.7896703747553</v>
      </c>
      <c r="C5" s="525">
        <f>bOHdam*bOHgfact</f>
        <v>234.59225278106646</v>
      </c>
      <c r="D5" s="526">
        <f>bOHdam*bOHcfact</f>
        <v>644.34672097199598</v>
      </c>
      <c r="E5" s="526">
        <f>bOHdam*bOHhit+bOHgdam*bOHglan+bOHcdam*bOHcrit</f>
        <v>360.94031498590334</v>
      </c>
      <c r="F5" s="527">
        <f>1/bOHspd*bHaste</f>
        <v>0.87742474632245571</v>
      </c>
      <c r="G5" s="528">
        <f>bOHasec*bOHthit</f>
        <v>0.8594910405317675</v>
      </c>
      <c r="H5" s="529">
        <f>bOHasec*bOHcrit</f>
        <v>0.1940088704826147</v>
      </c>
      <c r="I5" s="530">
        <f>bOHadam*bOHasec*bGlobDam</f>
        <v>335.95320054434791</v>
      </c>
      <c r="J5" s="531">
        <f t="shared" si="0"/>
        <v>249.20610678004363</v>
      </c>
      <c r="K5" s="109"/>
      <c r="O5" s="66" t="s">
        <v>1180</v>
      </c>
      <c r="Q5" s="68">
        <f>BaseGlanPerc</f>
        <v>0.24</v>
      </c>
      <c r="T5" s="27" t="s">
        <v>3090</v>
      </c>
      <c r="U5" s="107">
        <f>10*conv</f>
        <v>15.769230769230768</v>
      </c>
    </row>
    <row r="6" spans="1:21">
      <c r="A6" s="507" t="s">
        <v>110</v>
      </c>
      <c r="B6" s="341">
        <f>bOHdam</f>
        <v>312.7896703747553</v>
      </c>
      <c r="C6" s="340">
        <f>bOHgdam</f>
        <v>234.59225278106646</v>
      </c>
      <c r="D6" s="345">
        <f>bOHcdam</f>
        <v>644.34672097199598</v>
      </c>
      <c r="E6" s="345">
        <f>bOHadam</f>
        <v>360.94031498590334</v>
      </c>
      <c r="F6" s="343">
        <f>(sndfact-1)*sndup*bOHasec</f>
        <v>0.26234999915041429</v>
      </c>
      <c r="G6" s="335">
        <f>(sndfact-1)*sndup*bOHhsec</f>
        <v>0.25698782111899854</v>
      </c>
      <c r="H6" s="350">
        <f>(sndfact-1)*sndup*bOHcsec</f>
        <v>5.8008652274301804E-2</v>
      </c>
      <c r="I6" s="348">
        <f>(sndfact-1)*sndup*ohdps</f>
        <v>100.45000696276004</v>
      </c>
      <c r="J6" s="510">
        <f t="shared" si="0"/>
        <v>74.51262592723306</v>
      </c>
      <c r="K6" s="109"/>
      <c r="L6" s="67" t="s">
        <v>1182</v>
      </c>
      <c r="O6" s="66" t="s">
        <v>1181</v>
      </c>
      <c r="Q6" s="69">
        <f>OHDamFact</f>
        <v>0.75</v>
      </c>
      <c r="T6" s="27" t="s">
        <v>3091</v>
      </c>
      <c r="U6" s="105">
        <f>12*conv</f>
        <v>18.923076923076923</v>
      </c>
    </row>
    <row r="7" spans="1:21" ht="13.5" thickBot="1">
      <c r="A7" s="541" t="s">
        <v>1199</v>
      </c>
      <c r="B7" s="533">
        <f>bOHdam</f>
        <v>312.7896703747553</v>
      </c>
      <c r="C7" s="542">
        <f>bOHgdam</f>
        <v>234.59225278106646</v>
      </c>
      <c r="D7" s="543">
        <f>bOHcdam</f>
        <v>644.34672097199598</v>
      </c>
      <c r="E7" s="543">
        <f>bOHadam</f>
        <v>360.94031498590334</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987.92804030792274</v>
      </c>
      <c r="C8" s="570"/>
      <c r="D8" s="571">
        <f>B8*(1+((leth*0.06+2)-1)*(cfact-1))</f>
        <v>2349.2928798522403</v>
      </c>
      <c r="E8" s="571">
        <f>avginst*fwfactor</f>
        <v>1288.9417237511241</v>
      </c>
      <c r="F8" s="572"/>
      <c r="G8" s="573"/>
      <c r="H8" s="574"/>
      <c r="I8" s="575">
        <f>Q17*E8*bGlobDam*(1+DDmult)*IF(Talents!$O$27="Instants",1+Talents!I37*20%/(30*instsec),1)</f>
        <v>422.31929549250304</v>
      </c>
      <c r="J8" s="576">
        <f>IF(time=0,I8*armor,'Cooldowns Calc'!AG1)</f>
        <v>327.58159382914658</v>
      </c>
      <c r="K8" s="109"/>
      <c r="L8" s="66" t="s">
        <v>1187</v>
      </c>
      <c r="M8" s="72">
        <f>'Gear &amp; Buffs'!E6</f>
        <v>0.22111169225140132</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3165.528938330071</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1459.271084457818</v>
      </c>
      <c r="F10" s="560"/>
      <c r="G10" s="561"/>
      <c r="H10" s="562"/>
      <c r="I10" s="555">
        <f>E10*evisec/armor*bGlobDam*(1+DDmult)*(IF(AND(NOT(IF(Talents!$O$27="Instants",1,0)),Q18&gt;0),1+Talents!I37*20%/(30*Q18),1))</f>
        <v>4.9283445034141025</v>
      </c>
      <c r="J10" s="556">
        <f t="shared" si="1"/>
        <v>3.6557876054659548</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1759.726945199217</v>
      </c>
      <c r="F11" s="560"/>
      <c r="G11" s="561"/>
      <c r="H11" s="562"/>
      <c r="I11" s="555">
        <f>E11*rupsec*bGlobDam*(1+DDmult)*(IF(AND(NOT(IF(Talents!$O$27="Instants",1,0)),Q18&gt;0),1+Talents!I37*20%/(30*Q18),1))</f>
        <v>115.52681337834278</v>
      </c>
      <c r="J11" s="556">
        <f>I11</f>
        <v>115.52681337834278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27.290231355518202</v>
      </c>
      <c r="J13" s="567">
        <f>I13</f>
        <v>27.290231355518202</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79.110112401012088</v>
      </c>
      <c r="J14" s="508">
        <f>I14</f>
        <v>79.110112401012088</v>
      </c>
      <c r="L14" s="66" t="s">
        <v>1201</v>
      </c>
      <c r="M14" s="66">
        <f>ohspd</f>
        <v>1.4</v>
      </c>
      <c r="O14" s="76" t="s">
        <v>1202</v>
      </c>
      <c r="Q14" s="77">
        <f>bMHhsec+G3</f>
        <v>0.6011809255042585</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6.99107266427661E-9</v>
      </c>
      <c r="J15" s="509">
        <f>I15</f>
        <v>6.99107266427661E-9</v>
      </c>
      <c r="Q15" s="78"/>
    </row>
    <row r="16" spans="1:21" ht="13.5" thickBot="1">
      <c r="A16" s="512" t="s">
        <v>1203</v>
      </c>
      <c r="B16" s="513"/>
      <c r="C16" s="514"/>
      <c r="D16" s="515"/>
      <c r="E16" s="515"/>
      <c r="F16" s="516"/>
      <c r="G16" s="517"/>
      <c r="H16" s="518"/>
      <c r="I16" s="1314">
        <f>SUM(I2:I15)</f>
        <v>1999.9890113591171</v>
      </c>
      <c r="J16" s="1315">
        <f>SUM(J2:J15)</f>
        <v>1555.1825302604273</v>
      </c>
      <c r="O16" s="76" t="s">
        <v>1204</v>
      </c>
      <c r="Q16" s="77">
        <f>bOHhsec+G6+G7</f>
        <v>1.1164788616507662</v>
      </c>
      <c r="T16" s="15" t="s">
        <v>3110</v>
      </c>
      <c r="U16" s="651">
        <f>IF(numPhysDps=0,0,10/35*10/(2*numPhysDps))</f>
        <v>0.14285714285714285</v>
      </c>
    </row>
    <row r="17" spans="1:21">
      <c r="O17" s="76" t="s">
        <v>2250</v>
      </c>
      <c r="Q17" s="80">
        <f>instsec</f>
        <v>0.30886886428075361</v>
      </c>
      <c r="R17" s="651">
        <f>1/Q17</f>
        <v>3.2376199599420499</v>
      </c>
    </row>
    <row r="18" spans="1:21">
      <c r="A18" s="79" t="s">
        <v>1205</v>
      </c>
      <c r="B18" s="79"/>
      <c r="C18" s="79" t="s">
        <v>419</v>
      </c>
      <c r="D18" s="79"/>
      <c r="E18" s="79" t="str">
        <f>"Hit Table - "&amp;instatklng</f>
        <v>Hit Table - Sinister Strike</v>
      </c>
      <c r="F18" s="79"/>
      <c r="G18" s="67"/>
      <c r="J18" s="339" t="s">
        <v>108</v>
      </c>
      <c r="O18" s="66" t="s">
        <v>2251</v>
      </c>
      <c r="Q18" s="78">
        <f>evisec+rupsec+envsec</f>
        <v>6.4249278896633677E-2</v>
      </c>
      <c r="R18" s="651">
        <f>Q17+Q18</f>
        <v>0.37311814317738728</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0.16659794784534146</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2.2573758781777533</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3.2376199599420499</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0.22111169225140132</v>
      </c>
      <c r="C23" s="66" t="s">
        <v>1187</v>
      </c>
      <c r="D23" s="68">
        <f>MIN((1-D19-D20-D21-D22),(M8)-IF(mhtype="dagger",Talents!$F$24/100,0)-IF(mhtype="fist",Talents!$F$29/100,0)+IF(ohtype="dagger",Talents!$F$24/100,0)+IF(ohtype="fist",Talents!$F$29/100,0))</f>
        <v>0.22111169225140132</v>
      </c>
      <c r="E23" s="66" t="s">
        <v>1187</v>
      </c>
      <c r="F23" s="72">
        <f>MIN(1,(M8+IF(instatk="bs",impBS,0)+IF(instatk="mut",impBS/2,0)))*(1-F19-F20-F21)+Q30</f>
        <v>0.2166894584063733</v>
      </c>
      <c r="H23" s="68"/>
      <c r="J23" s="66" t="s">
        <v>1187</v>
      </c>
      <c r="K23" s="68">
        <f>MIN(1,(M8))*(1-K19-K20-K21)+Q29</f>
        <v>0.22111169225140132</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0.51844928335835472</v>
      </c>
      <c r="C24" s="66" t="s">
        <v>1185</v>
      </c>
      <c r="D24" s="68">
        <f>(1-D19-D20-D21-D22-D23)</f>
        <v>0.51844928335835472</v>
      </c>
      <c r="E24" s="66" t="s">
        <v>1185</v>
      </c>
      <c r="F24" s="72">
        <f>(1-F19-F20-F21-F23)</f>
        <v>0.76331054159362666</v>
      </c>
      <c r="H24" s="68"/>
      <c r="J24" s="66" t="s">
        <v>1185</v>
      </c>
      <c r="K24" s="72">
        <f>(1-K19-K20-K21-K23)</f>
        <v>0.77888830774859863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0.49458936445119794</v>
      </c>
    </row>
    <row r="32" spans="1:21">
      <c r="J32"/>
      <c r="K32" s="897"/>
      <c r="Q32" s="68"/>
      <c r="R32" s="85"/>
    </row>
    <row r="33" spans="1:18">
      <c r="A33" s="355" t="s">
        <v>432</v>
      </c>
      <c r="B33" s="355"/>
      <c r="J33"/>
      <c r="K33" s="897"/>
      <c r="O33" s="66" t="s">
        <v>2252</v>
      </c>
      <c r="Q33" s="73">
        <f>'Weap Enchants'!W22</f>
        <v>27.290231355518202</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1.228394644851438</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0.59568464366201823</v>
      </c>
    </row>
    <row r="42" spans="1:18">
      <c r="A42" s="376" t="s">
        <v>2032</v>
      </c>
      <c r="B42" s="379">
        <f>IF(tlSwSMH,tlSwSea,0)</f>
        <v>0.05</v>
      </c>
      <c r="C42" s="380">
        <f>B42*bMHthit*(bMHasec+F3+instsec+Q18+D46)</f>
        <v>4.833364489264004E-2</v>
      </c>
      <c r="D42" s="381">
        <f>$A$61</f>
        <v>5.8774234634322985E-2</v>
      </c>
      <c r="G42" s="362" t="s">
        <v>57</v>
      </c>
      <c r="H42" s="162">
        <f>bMHthit</f>
        <v>0.97956097560975608</v>
      </c>
      <c r="I42" s="161">
        <f>SUM($F$2:$F$4)</f>
        <v>0.93506381198775279</v>
      </c>
      <c r="J42" s="161">
        <f t="shared" ref="J42:J49" si="2">1/I42</f>
        <v>1.0694457289221859</v>
      </c>
      <c r="K42" s="161">
        <f>SUM($G$2:$G$4)</f>
        <v>0.76777887334959993</v>
      </c>
      <c r="L42" s="162">
        <f>MHspd/60*H42</f>
        <v>4.2447642276422767E-2</v>
      </c>
      <c r="M42" s="364">
        <f>1/L42/I42</f>
        <v>25.194467149856322</v>
      </c>
      <c r="O42" s="66" t="s">
        <v>1439</v>
      </c>
      <c r="Q42" s="26">
        <f>serrb*8*70/3+435*itTNBup+'Gear &amp; Buffs'!Q143</f>
        <v>4010</v>
      </c>
    </row>
    <row r="43" spans="1:18">
      <c r="A43" s="376" t="s">
        <v>2031</v>
      </c>
      <c r="B43" s="379">
        <f>IF(tlSwSOH,tlSwSea,0)</f>
        <v>0.05</v>
      </c>
      <c r="C43" s="380"/>
      <c r="D43" s="381">
        <f>$B$43*(bOHhsec+$G$6+$G$7)</f>
        <v>5.582394308253831E-2</v>
      </c>
      <c r="G43" s="362" t="s">
        <v>58</v>
      </c>
      <c r="H43" s="162">
        <f>bOHthit</f>
        <v>0.97956097560975608</v>
      </c>
      <c r="I43" s="161">
        <f>SUM($F$5:$F$7)</f>
        <v>1.1397747454728699</v>
      </c>
      <c r="J43" s="161">
        <f t="shared" si="2"/>
        <v>0.87736634275496239</v>
      </c>
      <c r="K43" s="161">
        <f>SUM($G$5:$G$7)</f>
        <v>1.1164788616507662</v>
      </c>
      <c r="L43" s="162">
        <f>ohspd/60*H43</f>
        <v>2.2856422764227641E-2</v>
      </c>
      <c r="M43" s="364">
        <f>1/L43/I43</f>
        <v>38.385986810154726</v>
      </c>
      <c r="O43" s="66" t="s">
        <v>526</v>
      </c>
      <c r="Q43" s="26">
        <f>MAX(basearmor-Q42,0)</f>
        <v>3675</v>
      </c>
    </row>
    <row r="44" spans="1:18">
      <c r="A44" s="376" t="s">
        <v>2033</v>
      </c>
      <c r="B44" s="893">
        <f>IF(itBsMH,itBsEa,0)</f>
        <v>4.3333333333333335E-2</v>
      </c>
      <c r="C44" s="380">
        <f>B44*bMHthit*(bMHasec+F3+instsec+Q18+D43+D46)</f>
        <v>4.4258753673381675E-2</v>
      </c>
      <c r="D44" s="381">
        <f>$B$61</f>
        <v>5.3602667810822215E-2</v>
      </c>
      <c r="G44" s="362" t="s">
        <v>2231</v>
      </c>
      <c r="H44" s="162">
        <f>$F$25</f>
        <v>0.98</v>
      </c>
      <c r="I44" s="161">
        <f>K44/$F$25</f>
        <v>0.31517231049056493</v>
      </c>
      <c r="J44" s="161">
        <f>IF(I44=0,0,1/I44)</f>
        <v>3.1728675607432089</v>
      </c>
      <c r="K44" s="161">
        <f>IF(instatk="v",0,instsec)</f>
        <v>0.30886886428075361</v>
      </c>
      <c r="L44" s="162">
        <f>MHspd/60*H44</f>
        <v>4.2466666666666666E-2</v>
      </c>
      <c r="M44" s="364">
        <f>IF(I44=0,0,1/L44/I44)</f>
        <v>74.714306767893461</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6.4249278896633677E-2</v>
      </c>
      <c r="J46" s="161">
        <f>IF(I46=0,0,1/I46)</f>
        <v>15.564377019839124</v>
      </c>
      <c r="K46" s="161">
        <f>$Q$18</f>
        <v>6.4249278896633677E-2</v>
      </c>
      <c r="L46" s="162">
        <f>MHspd/60*H46</f>
        <v>4.3333333333333335E-2</v>
      </c>
      <c r="M46" s="364">
        <f>IF(I46=0,0,1/L46/I46)</f>
        <v>359.17793122705672</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0.13117277633051469</v>
      </c>
      <c r="D47" s="381">
        <f>$C$61</f>
        <v>0.15313810351313933</v>
      </c>
      <c r="G47" s="365" t="s">
        <v>2300</v>
      </c>
      <c r="H47" s="358">
        <f>(H42*I42+H43*I43+H44*I44+H45*I45+H46*I46)/I47</f>
        <v>0.98015242102426237</v>
      </c>
      <c r="I47" s="161">
        <f>SUM(I42:I46)</f>
        <v>2.4542601468478211</v>
      </c>
      <c r="J47" s="161">
        <f t="shared" si="2"/>
        <v>0.40745476851114187</v>
      </c>
      <c r="K47" s="161">
        <f>SUM(K42:K46)</f>
        <v>2.2573758781777533</v>
      </c>
      <c r="L47" s="162">
        <f>(I42*L42+I43*L43+I44*L44+I45*L45+I46*L46)/I47</f>
        <v>3.3374978855288125E-2</v>
      </c>
      <c r="M47" s="363">
        <f>1/(1/M42+1/M43+IF(M44=0,0,1/M44)+IF(M45=0,0,1/M45)+IF(M46=0,0,1/M46))</f>
        <v>12.20839031173146</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0.32133894904082283</v>
      </c>
      <c r="G48" s="365" t="s">
        <v>2301</v>
      </c>
      <c r="H48" s="358">
        <f>(H42*I42+H44*I44+H46*I46)/I48</f>
        <v>0.98066525634831769</v>
      </c>
      <c r="I48" s="161">
        <f>I42+I44+I46</f>
        <v>1.3144854013749514</v>
      </c>
      <c r="J48" s="161">
        <f t="shared" si="2"/>
        <v>0.7607539794310384</v>
      </c>
      <c r="K48" s="161">
        <f>I48*H48</f>
        <v>1.2890701631054879</v>
      </c>
      <c r="L48" s="162">
        <f>(L42*I42+L44*I44+L46*I46)/I48</f>
        <v>4.2495494441760436E-2</v>
      </c>
      <c r="M48" s="363">
        <f>1/(1/M42+IF(M44=0,0,1/M44)+IF(M46=0,0,1/M46))</f>
        <v>17.901991479911889</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0.97956097560975608</v>
      </c>
      <c r="I49" s="161">
        <f>I43+I45</f>
        <v>1.1397747454728699</v>
      </c>
      <c r="J49" s="161">
        <f t="shared" si="2"/>
        <v>0.87736634275496239</v>
      </c>
      <c r="K49" s="161">
        <f>K43+K45</f>
        <v>1.1164788616507662</v>
      </c>
      <c r="L49" s="162">
        <f>(L43*I43+L45*I45)/I49</f>
        <v>2.2856422764227641E-2</v>
      </c>
      <c r="M49" s="363">
        <f>1/(1/M43+IF(M45=0,0,1/M45))</f>
        <v>38.385986810154726</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4.833364489264004E-2</v>
      </c>
      <c r="B51" s="386">
        <f>$C$44</f>
        <v>4.4258753673381675E-2</v>
      </c>
      <c r="C51" s="386">
        <f>$C$47</f>
        <v>0.13117277633051469</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2.1677073963784817E-3</v>
      </c>
      <c r="B52" s="386">
        <f>$B$44*bMHthit*$C$42/(1-$C$42*$C$47*$C$45*bMHthit^3)</f>
        <v>2.0516492683184326E-3</v>
      </c>
      <c r="C52" s="386">
        <f>$B$47*bMHthit*$C$42/(1-$C$42*$C$44*$C$45*bMHthit^3)</f>
        <v>9.4691504691619983E-3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0.22111169225140132</v>
      </c>
      <c r="I53" s="161">
        <f>I42</f>
        <v>0.93506381198775279</v>
      </c>
      <c r="J53" s="161">
        <f>1/I53</f>
        <v>1.0694457289221859</v>
      </c>
      <c r="K53" s="161">
        <f>I53*H53</f>
        <v>0.20675354183165817</v>
      </c>
      <c r="L53" s="162">
        <f>MHspd/60*H53</f>
        <v>9.5815066642273902E-3</v>
      </c>
      <c r="M53" s="364">
        <f>1/L53/I53</f>
        <v>111.61561186561269</v>
      </c>
      <c r="Q53" s="651"/>
    </row>
    <row r="54" spans="1:21">
      <c r="A54" s="385">
        <f>$B$42*bMHthit*$C$47/(1-$C$44*$C$47*$C$45*bMHthit^3)</f>
        <v>6.4245866377879652E-3</v>
      </c>
      <c r="B54" s="386">
        <f>$B$44*bMHthit*$C$47/(1-$C$42*$C$47*$C$45*bMHthit^3)</f>
        <v>5.5679750860829031E-3</v>
      </c>
      <c r="C54" s="386">
        <f>$B$47*bMHthit*$C$44/(1-$C$42*$C$44*$C$45*bMHthit^3)</f>
        <v>8.670829585513927E-3</v>
      </c>
      <c r="D54" s="894">
        <f>$B$45*bMHthit*$C$47/(1-$C$42*$C$44*$C$47*bMHthit^3)</f>
        <v>0</v>
      </c>
      <c r="G54" s="362" t="s">
        <v>58</v>
      </c>
      <c r="H54" s="162">
        <f>bOHcrit</f>
        <v>0.22111169225140132</v>
      </c>
      <c r="I54" s="161">
        <f>I43</f>
        <v>1.1397747454728699</v>
      </c>
      <c r="J54" s="161">
        <f>1/I54</f>
        <v>0.87736634275496239</v>
      </c>
      <c r="K54" s="161">
        <f>I54*H54</f>
        <v>0.25201752275691647</v>
      </c>
      <c r="L54" s="162">
        <f>ohspd/60*H54</f>
        <v>5.1592728191993632E-3</v>
      </c>
      <c r="M54" s="364">
        <f>1/L54/I54</f>
        <v>170.05620239542122</v>
      </c>
    </row>
    <row r="55" spans="1:21">
      <c r="A55" s="385">
        <f>$B$42*bMHthit*$B$44*bMHthit*$C$45/(1-$C$44*$C$47*$C$45*bMHthit^3)</f>
        <v>0</v>
      </c>
      <c r="B55" s="386">
        <f>$B$44*bMHthit*$B$42*bMHthit*$C$45/(1-$C$42*$C$47*$C$45*bMHthit^3)</f>
        <v>0</v>
      </c>
      <c r="C55" s="386">
        <f>$B$47*bMHthit*$B$42*bMHthit*$C$44/(1-$C$42*$C$44*$C$45*bMHthit^3)</f>
        <v>4.2468031440659801E-4</v>
      </c>
      <c r="D55" s="894">
        <f>$B$45*bMHthit*$B$42*bMHthit*$C$44/(1-$C$42*$C$44*$C$47*bMHthit^3)</f>
        <v>0</v>
      </c>
      <c r="G55" s="362" t="s">
        <v>2231</v>
      </c>
      <c r="H55" s="162">
        <f>instcrit</f>
        <v>0.2166894584063733</v>
      </c>
      <c r="I55" s="161">
        <f>I44</f>
        <v>0.31517231049056493</v>
      </c>
      <c r="J55" s="161">
        <f>IF(I55=0,0,1/I55)</f>
        <v>3.1728675607432089</v>
      </c>
      <c r="K55" s="161">
        <f>I55*H55</f>
        <v>6.8294517264885835E-2</v>
      </c>
      <c r="L55" s="162">
        <f>MHspd/60*H55</f>
        <v>9.3898765309428436E-3</v>
      </c>
      <c r="M55" s="364">
        <f>IF(I55=0,0,1/L55/I55)</f>
        <v>337.90301185404604</v>
      </c>
      <c r="Q55" s="78"/>
    </row>
    <row r="56" spans="1:21">
      <c r="A56" s="385">
        <f>$B$42*bMHthit*$B$44*bMHthit*$C$47/(1-$C$44*$C$47*$C$45*bMHthit^3)</f>
        <v>2.7270855537470925E-4</v>
      </c>
      <c r="B56" s="386">
        <f>$B$44*bMHthit*$B$42*bMHthit*$C$47/(1-$C$42*$C$47*$C$45*bMHthit^3)</f>
        <v>2.7270855537470925E-4</v>
      </c>
      <c r="C56" s="386">
        <f>$B$47*bMHthit*$B$42*bMHthit*$C$45/(1-$C$42*$C$44*$C$45*bMHthit^3)</f>
        <v>0</v>
      </c>
      <c r="D56" s="894">
        <f>$B$45*bMHthit*$B$42*bMHthit*$C$47/(1-$C$42*$C$44*$C$47*bMHthit^3)</f>
        <v>0</v>
      </c>
      <c r="G56" s="362" t="s">
        <v>2232</v>
      </c>
      <c r="H56" s="162">
        <f>instcrit</f>
        <v>0.2166894584063733</v>
      </c>
      <c r="I56" s="161">
        <f>I45</f>
        <v>0</v>
      </c>
      <c r="J56" s="161">
        <f>IF(I56=0,0,1/I56)</f>
        <v>0</v>
      </c>
      <c r="K56" s="161">
        <f>I56*H56</f>
        <v>0</v>
      </c>
      <c r="L56" s="162">
        <f>ohspd/60*H56</f>
        <v>5.0560873628153766E-3</v>
      </c>
      <c r="M56" s="364">
        <f>IF(I56=0,0,1/L56/I56)</f>
        <v>0</v>
      </c>
      <c r="R56" s="73"/>
    </row>
    <row r="57" spans="1:21">
      <c r="A57" s="385">
        <f>$B$42*bMHthit*$B$45*bMHthit*$C$44/(1-$C$44*$C$47*$C$45*bMHthit^3)</f>
        <v>0</v>
      </c>
      <c r="B57" s="386">
        <f>$B$44*bMHthit*$B$45*bMHthit*$C$42/(1-$C$42*$C$47*$C$45*bMHthit^3)</f>
        <v>0</v>
      </c>
      <c r="C57" s="386">
        <f>$B$47*bMHthit*$B$44*bMHthit*$C$42/(1-$C$42*$C$44*$C$45*bMHthit^3)</f>
        <v>4.0194311177660933E-4</v>
      </c>
      <c r="D57" s="894">
        <f>$B$45*bMHthit*$B$44*bMHthit*$C$42/(1-$C$42*$C$44*$C$47*bMHthit^3)</f>
        <v>0</v>
      </c>
      <c r="G57" s="362" t="s">
        <v>2299</v>
      </c>
      <c r="H57" s="162">
        <f>fincrit</f>
        <v>0.22111169225140132</v>
      </c>
      <c r="I57" s="161">
        <f>I46</f>
        <v>6.4249278896633677E-2</v>
      </c>
      <c r="J57" s="161">
        <f>IF(I57=0,0,1/I57)</f>
        <v>15.564377019839124</v>
      </c>
      <c r="K57" s="161">
        <f>I57*H57</f>
        <v>1.4206266782766919E-2</v>
      </c>
      <c r="L57" s="162">
        <f>MHspd/60*H57</f>
        <v>9.5815066642273902E-3</v>
      </c>
      <c r="M57" s="364">
        <f>IF(I57=0,0,1/L57/I57)</f>
        <v>1624.4185351296383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0.22054379578767183</v>
      </c>
      <c r="I58" s="161">
        <f>SUM(I53:I57)</f>
        <v>2.4542601468478211</v>
      </c>
      <c r="J58" s="161">
        <f>1/I58</f>
        <v>0.40745476851114187</v>
      </c>
      <c r="K58" s="161">
        <f>SUM(K53:K57)</f>
        <v>0.54127184863622735</v>
      </c>
      <c r="L58" s="162">
        <f>(I53*L53+I54*L54+I55*L55+I56*L56+I57*L57)/I58</f>
        <v>7.5031829895523634E-3</v>
      </c>
      <c r="M58" s="363">
        <f>1/(1/M53+1/M54+IF(M55=0,0,1/M55)+IF(M56=0,0,1/M56)+IF(M57=0,0,1/M57))</f>
        <v>54.304255817630064</v>
      </c>
    </row>
    <row r="59" spans="1:21">
      <c r="A59" s="385">
        <f>$B$42*bMHthit*$B$47*bMHthit*$C$44/(1-$C$44*$C$47*$C$45*bMHthit^3)</f>
        <v>4.2468031440659801E-4</v>
      </c>
      <c r="B59" s="386">
        <f>$B$44*bMHthit*$B$47*bMHthit*$C$42/(1-$C$42*$C$47*$C$45*bMHthit^3)</f>
        <v>4.0194311177660933E-4</v>
      </c>
      <c r="C59" s="386">
        <f>$B$47*bMHthit*$B$45*bMHthit*$C$42/(1-$C$42*$C$44*$C$45*bMHthit^3)</f>
        <v>0</v>
      </c>
      <c r="D59" s="894">
        <f>$B$45*bMHthit*$B$47*bMHthit*$C$42/(1-$C$42*$C$44*$C$47*bMHthit^3)</f>
        <v>0</v>
      </c>
      <c r="G59" s="365" t="s">
        <v>2301</v>
      </c>
      <c r="H59" s="358">
        <f>(H53*I53+H55*I55+H57*I57)/I59</f>
        <v>0.22005137948032819</v>
      </c>
      <c r="I59" s="161">
        <f>I53+I55+I57</f>
        <v>1.3144854013749514</v>
      </c>
      <c r="J59" s="161">
        <f>1/I59</f>
        <v>0.7607539794310384</v>
      </c>
      <c r="K59" s="161">
        <f>I59*H59</f>
        <v>0.28925432587931094</v>
      </c>
      <c r="L59" s="162">
        <f>(L53*I53+L55*I55+L57*I57)/I59</f>
        <v>9.5355597774808877E-3</v>
      </c>
      <c r="M59" s="363">
        <f>1/(1/M53+IF(M55=0,0,1/M55)+IF(M57=0,0,1/M57))</f>
        <v>79.780736231933616</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0.22111169225140132</v>
      </c>
      <c r="I60" s="368">
        <f>I54+I56</f>
        <v>1.1397747454728699</v>
      </c>
      <c r="J60" s="368">
        <f>1/I60</f>
        <v>0.87736634275496239</v>
      </c>
      <c r="K60" s="368">
        <f>K54+K56</f>
        <v>0.25201752275691647</v>
      </c>
      <c r="L60" s="369">
        <f>(L54*I54+L56*I56)/I60</f>
        <v>5.1592728191993632E-3</v>
      </c>
      <c r="M60" s="370">
        <f>1/(1/M54+IF(M56=0,0,1/M56))</f>
        <v>170.05620239542122</v>
      </c>
      <c r="Q60" s="68"/>
    </row>
    <row r="61" spans="1:21" ht="13.5" thickBot="1">
      <c r="A61" s="387">
        <f>SUM($A$51:$A$60)*(1-bMHthit^3*$B$44*$B$47*$B$45)/(1-(bMHthit^3*($B$42*$B$44+$B$44*$B$47+$B$42*$B$45+$B$44*$B$45+$B$45*$B$47+$B$42*$B$47+3*bMHthit^3*$B$42*$B$44*$B$45*$B$47)))</f>
        <v>5.8774234634322985E-2</v>
      </c>
      <c r="B61" s="388">
        <f>SUM($B$51:$B$60)*(1-bMHthit^3*$B$42*$B$47*$B$45)/(1-(bMHthit^3*($B$42*$B$44+$B$44*$B$47+$B$42*$B$45+$B$44*$B$45+$B$45*$B$47+$B$42*$B$47+3*bMHthit^3*$B$42*$B$44*$B$45*$B$47)))</f>
        <v>5.3602667810822215E-2</v>
      </c>
      <c r="C61" s="388">
        <f>SUM($C$51:$C$60)*(1-bMHthit^3*$B$44*$B$42*$B$45)/(1-(bMHthit^3*($B$42*$B$44+$B$44*$B$47+$B$42*$B$45+$B$44*$B$45+$B$45*$B$47+$B$42*$B$47+3*bMHthit^3*$B$42*$B$44*$B$45*$B$47)))</f>
        <v>0.15313810351313933</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0.93506381198775279</v>
      </c>
      <c r="J64" s="161">
        <f t="shared" ref="J64:J71" si="3">1/I64</f>
        <v>1.0694457289221859</v>
      </c>
      <c r="K64" s="161">
        <f>SUM($G$2:$G$4)</f>
        <v>0.76777887334959993</v>
      </c>
      <c r="L64" s="162">
        <f>MHspd/60/(1+$Q$41)*H64</f>
        <v>2.6601523330454256E-2</v>
      </c>
      <c r="M64" s="364">
        <f>1/L64/I64</f>
        <v>40.202424336272905</v>
      </c>
    </row>
    <row r="65" spans="1:14">
      <c r="C65" s="78"/>
      <c r="G65" s="362" t="s">
        <v>58</v>
      </c>
      <c r="H65" s="162">
        <f>bOHthit</f>
        <v>0.97956097560975608</v>
      </c>
      <c r="I65" s="161">
        <f>SUM($F$5:$F$7)</f>
        <v>1.1397747454728699</v>
      </c>
      <c r="J65" s="161">
        <f t="shared" si="3"/>
        <v>0.87736634275496239</v>
      </c>
      <c r="K65" s="161">
        <f>SUM($G$5:$G$7)</f>
        <v>1.1164788616507662</v>
      </c>
      <c r="L65" s="162">
        <f>ohspd/60/(1+$Q$41)*H65</f>
        <v>1.4323897177936905E-2</v>
      </c>
      <c r="M65" s="364">
        <f>1/L65/I65</f>
        <v>61.25192968477667</v>
      </c>
    </row>
    <row r="66" spans="1:14">
      <c r="C66" s="78"/>
      <c r="G66" s="362" t="s">
        <v>2231</v>
      </c>
      <c r="H66" s="162">
        <f>$F$25</f>
        <v>0.98</v>
      </c>
      <c r="I66" s="161">
        <f>K66/$F$25</f>
        <v>0.31517231049056493</v>
      </c>
      <c r="J66" s="161">
        <f>IF(I66=0,0,1/I66)</f>
        <v>3.1728675607432089</v>
      </c>
      <c r="K66" s="161">
        <f>IF(instatk="v",0,instsec)</f>
        <v>0.30886886428075361</v>
      </c>
      <c r="L66" s="162">
        <f>MHspd/60*H66</f>
        <v>4.2466666666666666E-2</v>
      </c>
      <c r="M66" s="364">
        <f>IF(I66=0,0,1/L66/I66)</f>
        <v>74.714306767893461</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6.4249278896633677E-2</v>
      </c>
      <c r="J68" s="161">
        <f>IF(I68=0,0,1/I68)</f>
        <v>15.564377019839124</v>
      </c>
      <c r="K68" s="161">
        <f>$Q$18</f>
        <v>6.4249278896633677E-2</v>
      </c>
      <c r="L68" s="162">
        <f>MHspd/60*H68</f>
        <v>4.3333333333333335E-2</v>
      </c>
      <c r="M68" s="364">
        <f>IF(I68=0,0,1/L68/I68)</f>
        <v>359.17793122705672</v>
      </c>
    </row>
    <row r="69" spans="1:14">
      <c r="A69" s="355"/>
      <c r="B69" s="78"/>
      <c r="C69" s="78"/>
      <c r="G69" s="365" t="s">
        <v>2300</v>
      </c>
      <c r="H69" s="358">
        <f>(H64*I64+H65*I65+H66*I66+H67*I67+H68*I68)/I69</f>
        <v>0.98015242102426237</v>
      </c>
      <c r="I69" s="161">
        <f>SUM(I64:I68)</f>
        <v>2.4542601468478211</v>
      </c>
      <c r="J69" s="161">
        <f t="shared" si="3"/>
        <v>0.40745476851114187</v>
      </c>
      <c r="K69" s="161">
        <f>SUM(K64:K68)</f>
        <v>2.2573758781777533</v>
      </c>
      <c r="L69" s="162">
        <f>(I64*L64+I65*L65+I66*L66+I67*L67+I68*L68)/I69</f>
        <v>2.3375105941772688E-2</v>
      </c>
      <c r="M69" s="363">
        <f>1/(1/M64+1/M65+IF(M66=0,0,1/M66)+IF(M67=0,0,1/M67)+IF(M68=0,0,1/M68))</f>
        <v>17.431141040648559</v>
      </c>
    </row>
    <row r="70" spans="1:14">
      <c r="A70" s="355"/>
      <c r="B70" s="78"/>
      <c r="C70" s="78"/>
      <c r="G70" s="365" t="s">
        <v>2301</v>
      </c>
      <c r="H70" s="358">
        <f>(H64*I64+H66*I66+H68*I68)/I70</f>
        <v>0.98066525634831769</v>
      </c>
      <c r="I70" s="161">
        <f>I64+I66+I68</f>
        <v>1.3144854013749514</v>
      </c>
      <c r="J70" s="161">
        <f t="shared" si="3"/>
        <v>0.7607539794310384</v>
      </c>
      <c r="K70" s="161">
        <f>I70*H70</f>
        <v>1.2890701631054879</v>
      </c>
      <c r="L70" s="162">
        <f>(L64*I64+L66*I66+L68*I68)/I70</f>
        <v>3.1223302014724005E-2</v>
      </c>
      <c r="M70" s="363">
        <f>1/(1/M64+IF(M66=0,0,1/M66)+IF(M68=0,0,1/M68))</f>
        <v>24.364943178408506</v>
      </c>
    </row>
    <row r="71" spans="1:14" ht="13.5" thickBot="1">
      <c r="A71" s="355"/>
      <c r="B71" s="78"/>
      <c r="C71" s="78"/>
      <c r="G71" s="366" t="s">
        <v>2302</v>
      </c>
      <c r="H71" s="367">
        <f>(H65*I65+H67*I67)/I71</f>
        <v>0.97956097560975608</v>
      </c>
      <c r="I71" s="368">
        <f>I65+I67</f>
        <v>1.1397747454728699</v>
      </c>
      <c r="J71" s="368">
        <f t="shared" si="3"/>
        <v>0.87736634275496239</v>
      </c>
      <c r="K71" s="368">
        <f>K65+K67</f>
        <v>1.1164788616507662</v>
      </c>
      <c r="L71" s="369">
        <f>(L65*I65+L67*I67)/I71</f>
        <v>1.4323897177936903E-2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1.1650282888954584</v>
      </c>
    </row>
    <row r="75" spans="1:14">
      <c r="A75" s="355"/>
      <c r="B75" s="78"/>
      <c r="C75" s="78"/>
      <c r="G75" s="362" t="s">
        <v>57</v>
      </c>
      <c r="H75" s="162">
        <f>bMHthit</f>
        <v>0.97956097560975608</v>
      </c>
      <c r="I75" s="161">
        <f>SUM($F$3:$F$4)+1/bMHspd*N$74</f>
        <v>0.9106921366200682</v>
      </c>
      <c r="J75" s="161">
        <f t="shared" ref="J75:J80" si="4">1/I75</f>
        <v>1.0980659212798167</v>
      </c>
      <c r="K75" s="161">
        <f>SUM($G$2:$G$4)</f>
        <v>0.76777887334959993</v>
      </c>
      <c r="L75" s="162">
        <f>MHspd/60*H75</f>
        <v>4.2447642276422767E-2</v>
      </c>
      <c r="M75" s="364">
        <f>1/L75/I75</f>
        <v>25.868714076723396</v>
      </c>
      <c r="N75" s="68"/>
    </row>
    <row r="76" spans="1:14">
      <c r="A76" s="355"/>
      <c r="B76" s="78"/>
      <c r="C76" s="78"/>
      <c r="G76" s="362" t="s">
        <v>58</v>
      </c>
      <c r="H76" s="162">
        <f>bOHthit</f>
        <v>0.97956097560975608</v>
      </c>
      <c r="I76" s="161">
        <f>SUM($F$6:$F$7)+1/bOHspd*N$74</f>
        <v>1.0945130626471704</v>
      </c>
      <c r="J76" s="161">
        <f t="shared" si="4"/>
        <v>0.9136483008995957</v>
      </c>
      <c r="K76" s="161">
        <f>SUM($G$5:$G$7)</f>
        <v>1.1164788616507662</v>
      </c>
      <c r="L76" s="162">
        <f>ohspd/60*H76</f>
        <v>2.2856422764227641E-2</v>
      </c>
      <c r="M76" s="364">
        <f>1/L76/I76</f>
        <v>39.973372488084074</v>
      </c>
    </row>
    <row r="77" spans="1:14">
      <c r="A77" s="355"/>
      <c r="B77" s="78"/>
      <c r="C77" s="78"/>
      <c r="G77" s="362" t="s">
        <v>2231</v>
      </c>
      <c r="H77" s="162">
        <f>$F$25</f>
        <v>0.98</v>
      </c>
      <c r="I77" s="161">
        <f>K77/$F$25</f>
        <v>0.31517231049056493</v>
      </c>
      <c r="J77" s="161">
        <f>IF(I77=0,0,1/I77)</f>
        <v>3.1728675607432089</v>
      </c>
      <c r="K77" s="161">
        <f>IF(instatk="v",0,instsec)</f>
        <v>0.30886886428075361</v>
      </c>
      <c r="L77" s="162">
        <f>MHspd/60*H77</f>
        <v>4.2466666666666666E-2</v>
      </c>
      <c r="M77" s="364">
        <f>IF(I77=0,0,1/L77/I77)</f>
        <v>74.714306767893461</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6.4249278896633677E-2</v>
      </c>
      <c r="J79" s="161">
        <f>IF(I79=0,0,1/I79)</f>
        <v>15.564377019839124</v>
      </c>
      <c r="K79" s="161">
        <f>$Q$18</f>
        <v>6.4249278896633677E-2</v>
      </c>
      <c r="L79" s="162">
        <f>MHspd/60*H79</f>
        <v>4.3333333333333335E-2</v>
      </c>
      <c r="M79" s="364">
        <f>IF(I79=0,0,1/L79/I79)</f>
        <v>359.17793122705672</v>
      </c>
    </row>
    <row r="80" spans="1:14" ht="13.5" thickBot="1">
      <c r="A80" s="355"/>
      <c r="B80" s="78"/>
      <c r="C80" s="78"/>
      <c r="G80" s="366" t="s">
        <v>2300</v>
      </c>
      <c r="H80" s="367">
        <f>(H75*I75+H76*I76+H77*I77+H78*I78+H79*I79)/I80</f>
        <v>0.98016969178990021</v>
      </c>
      <c r="I80" s="368">
        <f>SUM(I75:I79)</f>
        <v>2.3846267886544368</v>
      </c>
      <c r="J80" s="368">
        <f t="shared" si="4"/>
        <v>0.41935283322228623</v>
      </c>
      <c r="K80" s="368">
        <f>SUM(K75:K79)</f>
        <v>2.2573758781777533</v>
      </c>
      <c r="L80" s="369">
        <f>(I75*L75+I76*L76+I77*L77+I78*L78+I79*L79)/I80</f>
        <v>3.3481901893799161E-2</v>
      </c>
      <c r="M80" s="370">
        <f>1/(1/M75+1/M76+IF(M77=0,0,1/M77)+IF(M78=0,0,1/M78)+IF(M79=0,0,1/M79))</f>
        <v>12.524761423422911</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1.1787269185848885</v>
      </c>
    </row>
    <row r="84" spans="1:14">
      <c r="A84" s="355"/>
      <c r="B84" s="78"/>
      <c r="C84" s="78"/>
      <c r="G84" s="362" t="s">
        <v>57</v>
      </c>
      <c r="H84" s="162">
        <f>bMHthit</f>
        <v>0.97956097560975608</v>
      </c>
      <c r="I84" s="161">
        <f>SUM($F$3:$F$4)+1/bMHspd*N$83</f>
        <v>0.91596084034677216</v>
      </c>
      <c r="J84" s="161">
        <f t="shared" ref="J84:J89" si="5">1/I84</f>
        <v>1.0917497298480703</v>
      </c>
      <c r="K84" s="161">
        <f>SUM($G$2:$G$4)</f>
        <v>0.76777887334959993</v>
      </c>
      <c r="L84" s="162">
        <f>MHspd/60*H84</f>
        <v>4.2447642276422767E-2</v>
      </c>
      <c r="M84" s="364">
        <f>1/L84/I84</f>
        <v>25.719914494626117</v>
      </c>
      <c r="N84" s="68"/>
    </row>
    <row r="85" spans="1:14">
      <c r="A85" s="355"/>
      <c r="B85" s="78"/>
      <c r="C85" s="78"/>
      <c r="G85" s="362" t="s">
        <v>58</v>
      </c>
      <c r="H85" s="162">
        <f>bOHthit</f>
        <v>0.97956097560975608</v>
      </c>
      <c r="I85" s="161">
        <f>SUM($F$6:$F$7)+1/bOHspd*N$83</f>
        <v>1.1042977981396205</v>
      </c>
      <c r="J85" s="161">
        <f t="shared" si="5"/>
        <v>0.90555283337943071</v>
      </c>
      <c r="K85" s="161">
        <f>SUM($G$5:$G$7)</f>
        <v>1.1164788616507662</v>
      </c>
      <c r="L85" s="162">
        <f>ohspd/60*H85</f>
        <v>2.2856422764227641E-2</v>
      </c>
      <c r="M85" s="364">
        <f>1/L85/I85</f>
        <v>39.619184625719406</v>
      </c>
    </row>
    <row r="86" spans="1:14">
      <c r="A86" s="355"/>
      <c r="B86" s="78"/>
      <c r="C86" s="78"/>
      <c r="G86" s="362" t="s">
        <v>2231</v>
      </c>
      <c r="H86" s="162">
        <f>$F$25</f>
        <v>0.98</v>
      </c>
      <c r="I86" s="161">
        <f>K86/$F$25</f>
        <v>0.31517231049056493</v>
      </c>
      <c r="J86" s="161">
        <f>IF(I86=0,0,1/I86)</f>
        <v>3.1728675607432089</v>
      </c>
      <c r="K86" s="161">
        <f>IF(instatk="v",0,instsec)</f>
        <v>0.30886886428075361</v>
      </c>
      <c r="L86" s="162">
        <f>MHspd/60*H86</f>
        <v>4.2466666666666666E-2</v>
      </c>
      <c r="M86" s="364">
        <f>IF(I86=0,0,1/L86/I86)</f>
        <v>74.714306767893461</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6.4249278896633677E-2</v>
      </c>
      <c r="J88" s="161">
        <f>IF(I88=0,0,1/I88)</f>
        <v>15.564377019839124</v>
      </c>
      <c r="K88" s="161">
        <f>$Q$18</f>
        <v>6.4249278896633677E-2</v>
      </c>
      <c r="L88" s="162">
        <f>MHspd/60*H88</f>
        <v>4.3333333333333335E-2</v>
      </c>
      <c r="M88" s="364">
        <f>IF(I88=0,0,1/L88/I88)</f>
        <v>359.17793122705672</v>
      </c>
    </row>
    <row r="89" spans="1:14" ht="13.5" thickBot="1">
      <c r="A89" s="355"/>
      <c r="B89" s="78"/>
      <c r="C89" s="78"/>
      <c r="G89" s="366" t="s">
        <v>2300</v>
      </c>
      <c r="H89" s="367">
        <f>(H84*I84+H85*I85+H86*I86+H87*I87+H88*I88)/I89</f>
        <v>0.98016587325111593</v>
      </c>
      <c r="I89" s="368">
        <f>SUM(I84:I88)</f>
        <v>2.3996802278735911</v>
      </c>
      <c r="J89" s="368">
        <f t="shared" si="5"/>
        <v>0.416722190058682</v>
      </c>
      <c r="K89" s="368">
        <f>SUM(K84:K88)</f>
        <v>2.2573758781777533</v>
      </c>
      <c r="L89" s="369">
        <f>(I84*L84+I85*L85+I86*L86+I87*L87+I88*L88)/I89</f>
        <v>3.3458261380226617E-2</v>
      </c>
      <c r="M89" s="370">
        <f>1/(1/M84+1/M85+IF(M86=0,0,1/M86)+IF(M87=0,0,1/M87)+IF(M88=0,0,1/M88))</f>
        <v>12.4549863880542</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1.2109323874485836</v>
      </c>
    </row>
    <row r="93" spans="1:14">
      <c r="A93" s="355"/>
      <c r="B93" s="78"/>
      <c r="C93" s="78"/>
      <c r="G93" s="362" t="s">
        <v>57</v>
      </c>
      <c r="H93" s="162">
        <f>bMHthit</f>
        <v>0.97956097560975608</v>
      </c>
      <c r="I93" s="161">
        <f>SUM($F$3:$F$4)+1/bMHspd*N$92</f>
        <v>0.92834755914050104</v>
      </c>
      <c r="J93" s="161">
        <f t="shared" ref="J93:J94" si="6">1/I93</f>
        <v>1.0771827750867762</v>
      </c>
      <c r="K93" s="161">
        <f>SUM($G$2:$G$4)</f>
        <v>0.76777887334959993</v>
      </c>
      <c r="L93" s="162">
        <f>MHspd/60*H93</f>
        <v>4.2447642276422767E-2</v>
      </c>
      <c r="M93" s="364">
        <f>1/L93/I93</f>
        <v>25.376739845103</v>
      </c>
      <c r="N93" s="68"/>
    </row>
    <row r="94" spans="1:14">
      <c r="A94" s="355"/>
      <c r="B94" s="78"/>
      <c r="C94" s="78"/>
      <c r="G94" s="362" t="s">
        <v>58</v>
      </c>
      <c r="H94" s="162">
        <f>bOHthit</f>
        <v>0.97956097560975608</v>
      </c>
      <c r="I94" s="161">
        <f>SUM($F$6:$F$7)+1/bOHspd*N$92</f>
        <v>1.1273017044708311</v>
      </c>
      <c r="J94" s="161">
        <f t="shared" si="6"/>
        <v>0.8870739714435294</v>
      </c>
      <c r="K94" s="161">
        <f>SUM($G$5:$G$7)</f>
        <v>1.1164788616507662</v>
      </c>
      <c r="L94" s="162">
        <f>ohspd/60*H94</f>
        <v>2.2856422764227641E-2</v>
      </c>
      <c r="M94" s="364">
        <f>1/L94/I94</f>
        <v>38.810708945753312</v>
      </c>
    </row>
    <row r="95" spans="1:14">
      <c r="A95" s="355"/>
      <c r="B95" s="78"/>
      <c r="C95" s="78"/>
      <c r="G95" s="362" t="s">
        <v>2231</v>
      </c>
      <c r="H95" s="162">
        <f>$F$25</f>
        <v>0.98</v>
      </c>
      <c r="I95" s="161">
        <f>K95/$F$25</f>
        <v>0.31517231049056493</v>
      </c>
      <c r="J95" s="161">
        <f>IF(I95=0,0,1/I95)</f>
        <v>3.1728675607432089</v>
      </c>
      <c r="K95" s="161">
        <f>IF(instatk="v",0,instsec)</f>
        <v>0.30886886428075361</v>
      </c>
      <c r="L95" s="162">
        <f>MHspd/60*H95</f>
        <v>4.2466666666666666E-2</v>
      </c>
      <c r="M95" s="364">
        <f>IF(I95=0,0,1/L95/I95)</f>
        <v>74.714306767893461</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6.4249278896633677E-2</v>
      </c>
      <c r="J97" s="161">
        <f>IF(I97=0,0,1/I97)</f>
        <v>15.564377019839124</v>
      </c>
      <c r="K97" s="161">
        <f>$Q$18</f>
        <v>6.4249278896633677E-2</v>
      </c>
      <c r="L97" s="162">
        <f>MHspd/60*H97</f>
        <v>4.3333333333333335E-2</v>
      </c>
      <c r="M97" s="364">
        <f>IF(I97=0,0,1/L97/I97)</f>
        <v>359.17793122705672</v>
      </c>
    </row>
    <row r="98" spans="1:14" ht="13.5" thickBot="1">
      <c r="A98" s="355"/>
      <c r="B98" s="78"/>
      <c r="C98" s="78"/>
      <c r="G98" s="366" t="s">
        <v>2300</v>
      </c>
      <c r="H98" s="367">
        <f>(H93*I93+H94*I94+H95*I95+H96*I96+H97*I97)/I98</f>
        <v>0.98015708184135575</v>
      </c>
      <c r="I98" s="368">
        <f>SUM(I93:I97)</f>
        <v>2.4350708529985305</v>
      </c>
      <c r="J98" s="368">
        <f t="shared" ref="J98" si="7">1/I98</f>
        <v>0.41066566862668757</v>
      </c>
      <c r="K98" s="368">
        <f>SUM(K93:K97)</f>
        <v>2.2573758781777533</v>
      </c>
      <c r="L98" s="369">
        <f>(I93*L93+I94*L94+I95*L95+I96*L96+I97*L97)/I98</f>
        <v>3.3403833900629065E-2</v>
      </c>
      <c r="M98" s="370">
        <f>1/(1/M93+1/M94+IF(M95=0,0,1/M95)+IF(M96=0,0,1/M96)+IF(M97=0,0,1/M97))</f>
        <v>12.293968107024799</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1.2152979517992972</v>
      </c>
    </row>
    <row r="102" spans="1:14">
      <c r="A102" s="355"/>
      <c r="B102" s="78"/>
      <c r="C102" s="78"/>
      <c r="G102" s="362" t="s">
        <v>57</v>
      </c>
      <c r="H102" s="162">
        <f>bMHthit</f>
        <v>0.97956097560975608</v>
      </c>
      <c r="I102" s="161">
        <f>SUM($F$3:$F$4)+1/bMHspd*N$101</f>
        <v>0.93002662235231393</v>
      </c>
      <c r="J102" s="161">
        <f t="shared" ref="J102:J103" si="8">1/I102</f>
        <v>1.0752380372410228</v>
      </c>
      <c r="K102" s="161">
        <f>SUM($G$2:$G$4)</f>
        <v>0.76777887334959993</v>
      </c>
      <c r="L102" s="162">
        <f>MHspd/60*H102</f>
        <v>4.2447642276422767E-2</v>
      </c>
      <c r="M102" s="364">
        <f>1/L102/I102</f>
        <v>25.330924865955534</v>
      </c>
      <c r="N102" s="68"/>
    </row>
    <row r="103" spans="1:14">
      <c r="A103" s="355"/>
      <c r="B103" s="78"/>
      <c r="C103" s="78"/>
      <c r="G103" s="362" t="s">
        <v>58</v>
      </c>
      <c r="H103" s="162">
        <f>bOHthit</f>
        <v>0.97956097560975608</v>
      </c>
      <c r="I103" s="161">
        <f>SUM($F$6:$F$7)+1/bOHspd*N$101</f>
        <v>1.1304199647213409</v>
      </c>
      <c r="J103" s="161">
        <f t="shared" si="8"/>
        <v>0.88462698042183763</v>
      </c>
      <c r="K103" s="161">
        <f>SUM($G$5:$G$7)</f>
        <v>1.1164788616507662</v>
      </c>
      <c r="L103" s="162">
        <f>ohspd/60*H103</f>
        <v>2.2856422764227641E-2</v>
      </c>
      <c r="M103" s="364">
        <f>1/L103/I103</f>
        <v>38.703649715753357</v>
      </c>
    </row>
    <row r="104" spans="1:14">
      <c r="A104" s="355"/>
      <c r="B104" s="78"/>
      <c r="C104" s="78"/>
      <c r="G104" s="362" t="s">
        <v>2231</v>
      </c>
      <c r="H104" s="162">
        <f>$F$25</f>
        <v>0.98</v>
      </c>
      <c r="I104" s="161">
        <f>K104/$F$25</f>
        <v>0.31517231049056493</v>
      </c>
      <c r="J104" s="161">
        <f>IF(I104=0,0,1/I104)</f>
        <v>3.1728675607432089</v>
      </c>
      <c r="K104" s="161">
        <f>IF(instatk="v",0,instsec)</f>
        <v>0.30886886428075361</v>
      </c>
      <c r="L104" s="162">
        <f>MHspd/60*H104</f>
        <v>4.2466666666666666E-2</v>
      </c>
      <c r="M104" s="364">
        <f>IF(I104=0,0,1/L104/I104)</f>
        <v>74.714306767893461</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6.4249278896633677E-2</v>
      </c>
      <c r="J106" s="161">
        <f>IF(I106=0,0,1/I106)</f>
        <v>15.564377019839124</v>
      </c>
      <c r="K106" s="161">
        <f>$Q$18</f>
        <v>6.4249278896633677E-2</v>
      </c>
      <c r="L106" s="162">
        <f>MHspd/60*H106</f>
        <v>4.3333333333333335E-2</v>
      </c>
      <c r="M106" s="364">
        <f>IF(I106=0,0,1/L106/I106)</f>
        <v>359.17793122705672</v>
      </c>
    </row>
    <row r="107" spans="1:14" ht="13.5" thickBot="1">
      <c r="G107" s="366" t="s">
        <v>2301</v>
      </c>
      <c r="H107" s="367">
        <f>(H102*I102+H104*I104+H106*I106)/I107</f>
        <v>0.98066950429905086</v>
      </c>
      <c r="I107" s="368">
        <f>I102+I104+I106</f>
        <v>1.3094482117395123</v>
      </c>
      <c r="J107" s="368">
        <f t="shared" ref="J107" si="9">1/I107</f>
        <v>0.76368045031087439</v>
      </c>
      <c r="K107" s="368">
        <f>K102+K104+K106</f>
        <v>1.1408970165269872</v>
      </c>
      <c r="L107" s="369">
        <f>(I102*L102+I104*L104+I106*L106)/I107</f>
        <v>4.2495678519625539E-2</v>
      </c>
      <c r="M107" s="370">
        <f>1/(1/M102+IF(M104=0,0,1/M104)+IF(M106=0,0,1/M106))</f>
        <v>17.970779074822591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workbookViewId="0"/>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76.157299099337436</v>
      </c>
      <c r="AA1" s="29">
        <f>SUMPRODUCT(AB3:AB602,AD3:AD602)/(AD1*IF(time=0,1,time))</f>
        <v>0.74178816089935384</v>
      </c>
      <c r="AB1" s="29">
        <f>SUM(AB3:AB602)/IF(time=0,1,time)</f>
        <v>0.7417881608993474</v>
      </c>
      <c r="AC1" s="25">
        <f>SUM(AC3:AC602)/IF(time=0,1,time)</f>
        <v>211.49804426515033</v>
      </c>
      <c r="AD1" s="29">
        <f>SUM(AD3:AD602)/IF(time=0,1,time)</f>
        <v>1.228394644851438</v>
      </c>
      <c r="AE1" s="25">
        <f>SUM(AF3:AF602)</f>
        <v>4163.3074246343258</v>
      </c>
      <c r="AF1" s="25">
        <f>SUM(AF3:AF602)/IF(time=0,1,time)</f>
        <v>13.877691415447753</v>
      </c>
      <c r="AG1" s="25">
        <f>SUM(AG3:AG602)/IF(time=0,1,time)*bGlobDam*(1+DDmult)*IF(Talents!$O$27="Instants",1+Talents!I37*20%/(30*instsec),1)</f>
        <v>327.58159382914658</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607.4980442651497</v>
      </c>
      <c r="AD3" s="29">
        <f t="shared" ref="AD3:AD66" si="12">IF($A3&lt;0,0,(1+$AC3/(hasterate*100))*(1+$AS$26/100*AND($J3&gt;0,$J3&lt;=$AT$26))*(1+$AS$35/100*AND($M3&gt;0,$M3&lt;=$AT$35))*(1+0.3*($X3&gt;0)))</f>
        <v>2.1609785530584018</v>
      </c>
      <c r="AE3" s="25">
        <f t="shared" ref="AE3" si="13">IF($A3&lt;0,0,$AN$45+IF($P3&gt;0,$AN$37*$AL$37,0)+$S3*(60-IF(CharLevel&gt;60,(CharLevel-60)*2,0))*$AL$38+IF($J3=1,$AL$26*-25+IF($AL$39, 30, 0),0)+IF($M3=1,$AL$35*-10,0)+100+IF(vigor&gt;0, 10, 0))</f>
        <v>136.59054220554873</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931.97279120709925</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607.4980442651497</v>
      </c>
      <c r="AD4" s="29">
        <f t="shared" si="12"/>
        <v>2.1609785530584018</v>
      </c>
      <c r="AE4" s="25">
        <f t="shared" ref="AE4:AE67" si="22">IF($A4&lt;0,0,$AN$45+IF($P4&gt;0,$AN$37*$AL$37,0)+$S4*(60-IF(CharLevel&gt;60,(CharLevel-60)*2,0))*$AL$38+IF($J4=1,$AL$26*-25+IF($AL$39, 30, 0),0)+IF($M4=1,$AL$35*-10,0)+IF(AE3&gt;instcost,AE3-instcost,0))</f>
        <v>118.017819104975</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931.97279120709925</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607.4980442651497</v>
      </c>
      <c r="AD5" s="29">
        <f t="shared" si="12"/>
        <v>2.1609785530584018</v>
      </c>
      <c r="AE5" s="25">
        <f t="shared" si="22"/>
        <v>99.445096004401265</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931.97279120709925</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607.4980442651497</v>
      </c>
      <c r="AD6" s="29">
        <f t="shared" si="12"/>
        <v>2.1609785530584018</v>
      </c>
      <c r="AE6" s="25">
        <f t="shared" si="22"/>
        <v>80.872372903827539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931.97279120709925</v>
      </c>
      <c r="AH6" s="25">
        <f t="shared" si="32"/>
        <v>0</v>
      </c>
      <c r="AI6" s="25">
        <f t="shared" si="33"/>
        <v>101.22857142857146</v>
      </c>
      <c r="AJ6" s="25">
        <f t="shared" si="34"/>
        <v>0</v>
      </c>
      <c r="AL6" t="b">
        <f>OR(trinket1=AM6, trinket2=AM6)</f>
        <v>0</v>
      </c>
      <c r="AM6" t="s">
        <v>1654</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607.4980442651497</v>
      </c>
      <c r="AD7" s="29">
        <f t="shared" si="12"/>
        <v>2.1609785530584018</v>
      </c>
      <c r="AE7" s="25">
        <f t="shared" si="22"/>
        <v>62.299649803253807</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931.97279120709925</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607.4980442651497</v>
      </c>
      <c r="AD8" s="29">
        <f t="shared" si="12"/>
        <v>2.1609785530584018</v>
      </c>
      <c r="AE8" s="25">
        <f t="shared" si="22"/>
        <v>43.726926702680075</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931.97279120709925</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607.4980442651497</v>
      </c>
      <c r="AD9" s="29">
        <f t="shared" si="12"/>
        <v>2.1609785530584018</v>
      </c>
      <c r="AE9" s="25">
        <f t="shared" si="22"/>
        <v>25.154203602106342</v>
      </c>
      <c r="AF9" s="25">
        <f t="shared" si="14"/>
        <v>25.154203602106342</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583.69341145360227</v>
      </c>
      <c r="AH9" s="25">
        <f t="shared" si="32"/>
        <v>0</v>
      </c>
      <c r="AI9" s="25">
        <f t="shared" si="33"/>
        <v>0</v>
      </c>
      <c r="AJ9" s="25">
        <f t="shared" si="34"/>
        <v>0</v>
      </c>
      <c r="AL9" t="b">
        <f>OR(trinket1=AM9, trinket2=AM9)</f>
        <v>0</v>
      </c>
      <c r="AM9" t="s">
        <v>2396</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607.4980442651497</v>
      </c>
      <c r="AD10" s="29">
        <f t="shared" si="12"/>
        <v>2.1609785530584018</v>
      </c>
      <c r="AE10" s="25">
        <f t="shared" si="22"/>
        <v>21.590542205548715</v>
      </c>
      <c r="AF10" s="25">
        <f t="shared" si="14"/>
        <v>21.590542205548715</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501.00004891565857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607.4980442651497</v>
      </c>
      <c r="AD11" s="29">
        <f t="shared" si="12"/>
        <v>2.1609785530584018</v>
      </c>
      <c r="AE11" s="25">
        <f t="shared" si="22"/>
        <v>21.590542205548715</v>
      </c>
      <c r="AF11" s="25">
        <f t="shared" si="14"/>
        <v>21.590542205548715</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501.00004891565857</v>
      </c>
      <c r="AH11" s="25">
        <f t="shared" si="32"/>
        <v>0</v>
      </c>
      <c r="AI11" s="25">
        <f t="shared" si="33"/>
        <v>0</v>
      </c>
      <c r="AJ11" s="25">
        <f t="shared" si="34"/>
        <v>0</v>
      </c>
      <c r="AL11" t="b">
        <f>OR(trinket1=AM11, trinket2=AM11)</f>
        <v>0</v>
      </c>
      <c r="AM11" t="s">
        <v>1346</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607.4980442651497</v>
      </c>
      <c r="AD12" s="29">
        <f t="shared" si="12"/>
        <v>2.1609785530584018</v>
      </c>
      <c r="AE12" s="25">
        <f t="shared" si="22"/>
        <v>21.590542205548715</v>
      </c>
      <c r="AF12" s="25">
        <f t="shared" si="14"/>
        <v>21.590542205548715</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501.00004891565857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607.4980442651497</v>
      </c>
      <c r="AD13" s="29">
        <f t="shared" si="12"/>
        <v>2.1609785530584018</v>
      </c>
      <c r="AE13" s="25">
        <f t="shared" si="22"/>
        <v>21.590542205548715</v>
      </c>
      <c r="AF13" s="25">
        <f t="shared" si="14"/>
        <v>21.590542205548715</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501.00004891565857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607.4980442651497</v>
      </c>
      <c r="AD14" s="29">
        <f t="shared" si="12"/>
        <v>2.1609785530584018</v>
      </c>
      <c r="AE14" s="25">
        <f t="shared" si="22"/>
        <v>21.590542205548715</v>
      </c>
      <c r="AF14" s="25">
        <f t="shared" si="14"/>
        <v>21.590542205548715</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501.00004891565857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607.4980442651497</v>
      </c>
      <c r="AD15" s="29">
        <f t="shared" si="12"/>
        <v>2.1609785530584018</v>
      </c>
      <c r="AE15" s="25">
        <f t="shared" si="22"/>
        <v>21.590542205548715</v>
      </c>
      <c r="AF15" s="25">
        <f t="shared" si="14"/>
        <v>21.590542205548715</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501.00004891565857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607.4980442651497</v>
      </c>
      <c r="AD16" s="29">
        <f t="shared" si="12"/>
        <v>2.1609785530584018</v>
      </c>
      <c r="AE16" s="25">
        <f t="shared" si="22"/>
        <v>21.590542205548715</v>
      </c>
      <c r="AF16" s="25">
        <f t="shared" si="14"/>
        <v>21.590542205548715</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501.00004891565857</v>
      </c>
      <c r="AH16" s="25">
        <f t="shared" si="32"/>
        <v>0</v>
      </c>
      <c r="AI16" s="25">
        <f t="shared" si="33"/>
        <v>0</v>
      </c>
      <c r="AJ16" s="25">
        <f t="shared" si="34"/>
        <v>0</v>
      </c>
      <c r="AL16" t="b">
        <f t="shared" si="36"/>
        <v>0</v>
      </c>
      <c r="AM16" t="s">
        <v>2831</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607.4980442651497</v>
      </c>
      <c r="AD17" s="29">
        <f t="shared" si="12"/>
        <v>2.1609785530584018</v>
      </c>
      <c r="AE17" s="25">
        <f t="shared" si="22"/>
        <v>21.590542205548715</v>
      </c>
      <c r="AF17" s="25">
        <f t="shared" si="14"/>
        <v>21.590542205548715</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501.00004891565857</v>
      </c>
      <c r="AH17" s="25">
        <f t="shared" si="32"/>
        <v>0</v>
      </c>
      <c r="AI17" s="25">
        <f t="shared" si="33"/>
        <v>0</v>
      </c>
      <c r="AJ17" s="25">
        <f t="shared" si="34"/>
        <v>0</v>
      </c>
      <c r="AL17" t="b">
        <f t="shared" si="36"/>
        <v>0</v>
      </c>
      <c r="AM17" t="s">
        <v>1759</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207.49804426514967</v>
      </c>
      <c r="AD18" s="29">
        <f t="shared" si="12"/>
        <v>1.471059363321026</v>
      </c>
      <c r="AE18" s="25">
        <f t="shared" si="22"/>
        <v>13.243681724740558</v>
      </c>
      <c r="AF18" s="25">
        <f t="shared" si="14"/>
        <v>13.243681724740558</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307.31443095547792</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207.49804426514967</v>
      </c>
      <c r="AD19" s="29">
        <f t="shared" si="12"/>
        <v>1.471059363321026</v>
      </c>
      <c r="AE19" s="25">
        <f t="shared" si="22"/>
        <v>13.243681724740558</v>
      </c>
      <c r="AF19" s="25">
        <f t="shared" si="14"/>
        <v>13.243681724740558</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307.31443095547792</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207.49804426514967</v>
      </c>
      <c r="AD20" s="29">
        <f t="shared" si="12"/>
        <v>1.471059363321026</v>
      </c>
      <c r="AE20" s="25">
        <f t="shared" si="22"/>
        <v>13.243681724740558</v>
      </c>
      <c r="AF20" s="25">
        <f t="shared" si="14"/>
        <v>13.243681724740558</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307.31443095547792</v>
      </c>
      <c r="AH20" s="25">
        <f t="shared" si="32"/>
        <v>0</v>
      </c>
      <c r="AI20" s="25">
        <f t="shared" si="33"/>
        <v>0</v>
      </c>
      <c r="AJ20" s="25">
        <f t="shared" si="34"/>
        <v>0</v>
      </c>
      <c r="AL20" t="b">
        <f t="shared" si="36"/>
        <v>0</v>
      </c>
      <c r="AM20" t="s">
        <v>784</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207.49804426514967</v>
      </c>
      <c r="AD21" s="29">
        <f t="shared" si="12"/>
        <v>1.471059363321026</v>
      </c>
      <c r="AE21" s="25">
        <f t="shared" si="22"/>
        <v>13.243681724740558</v>
      </c>
      <c r="AF21" s="25">
        <f t="shared" si="14"/>
        <v>13.243681724740558</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307.31443095547792</v>
      </c>
      <c r="AH21" s="25">
        <f t="shared" si="32"/>
        <v>0</v>
      </c>
      <c r="AI21" s="25">
        <f t="shared" si="33"/>
        <v>0</v>
      </c>
      <c r="AJ21" s="25">
        <f t="shared" si="34"/>
        <v>0</v>
      </c>
      <c r="AL21" t="b">
        <f t="shared" si="36"/>
        <v>0</v>
      </c>
      <c r="AM21" t="s">
        <v>2972</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207.49804426514967</v>
      </c>
      <c r="AD22" s="29">
        <f t="shared" si="12"/>
        <v>1.471059363321026</v>
      </c>
      <c r="AE22" s="25">
        <f t="shared" si="22"/>
        <v>13.243681724740558</v>
      </c>
      <c r="AF22" s="25">
        <f t="shared" si="14"/>
        <v>13.243681724740558</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307.31443095547792</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207.49804426514967</v>
      </c>
      <c r="AD23" s="29">
        <f t="shared" si="12"/>
        <v>1.471059363321026</v>
      </c>
      <c r="AE23" s="25">
        <f t="shared" si="22"/>
        <v>13.243681724740558</v>
      </c>
      <c r="AF23" s="25">
        <f t="shared" si="14"/>
        <v>13.243681724740558</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290.78918279315889</v>
      </c>
      <c r="AH23" s="25">
        <f t="shared" si="32"/>
        <v>0</v>
      </c>
      <c r="AI23" s="25">
        <f t="shared" si="33"/>
        <v>0</v>
      </c>
      <c r="AJ23" s="25">
        <f t="shared" si="34"/>
        <v>0</v>
      </c>
      <c r="AL23" t="b">
        <f t="shared" si="36"/>
        <v>0</v>
      </c>
      <c r="AM23" t="s">
        <v>2398</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207.49804426514967</v>
      </c>
      <c r="AD24" s="29">
        <f t="shared" si="12"/>
        <v>1.471059363321026</v>
      </c>
      <c r="AE24" s="25">
        <f t="shared" si="22"/>
        <v>13.243681724740558</v>
      </c>
      <c r="AF24" s="25">
        <f t="shared" si="14"/>
        <v>13.243681724740558</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290.78918279315889</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207.49804426514967</v>
      </c>
      <c r="AD25" s="29">
        <f t="shared" si="12"/>
        <v>1.471059363321026</v>
      </c>
      <c r="AE25" s="25">
        <f t="shared" si="22"/>
        <v>13.243681724740558</v>
      </c>
      <c r="AF25" s="25">
        <f t="shared" si="14"/>
        <v>13.243681724740558</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290.78918279315889</v>
      </c>
      <c r="AH25" s="25">
        <f t="shared" si="32"/>
        <v>0</v>
      </c>
      <c r="AI25" s="25">
        <f t="shared" si="33"/>
        <v>0</v>
      </c>
      <c r="AJ25" s="25">
        <f t="shared" si="34"/>
        <v>0</v>
      </c>
      <c r="AL25" t="b">
        <f t="shared" si="36"/>
        <v>0</v>
      </c>
      <c r="AM25" t="s">
        <v>2399</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207.49804426514967</v>
      </c>
      <c r="AD26" s="29">
        <f t="shared" si="12"/>
        <v>1.471059363321026</v>
      </c>
      <c r="AE26" s="25">
        <f t="shared" si="22"/>
        <v>13.243681724740558</v>
      </c>
      <c r="AF26" s="25">
        <f t="shared" si="14"/>
        <v>13.243681724740558</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290.78918279315889</v>
      </c>
      <c r="AH26" s="25">
        <f t="shared" si="32"/>
        <v>0</v>
      </c>
      <c r="AI26" s="25">
        <f t="shared" si="33"/>
        <v>0</v>
      </c>
      <c r="AJ26" s="25">
        <f t="shared" si="34"/>
        <v>0</v>
      </c>
      <c r="AL26" t="b">
        <f>blfl&gt;0</f>
        <v>1</v>
      </c>
      <c r="AM26" t="s">
        <v>745</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207.49804426514967</v>
      </c>
      <c r="AD27" s="29">
        <f t="shared" si="12"/>
        <v>1.471059363321026</v>
      </c>
      <c r="AE27" s="25">
        <f t="shared" si="22"/>
        <v>13.243681724740558</v>
      </c>
      <c r="AF27" s="25">
        <f t="shared" si="14"/>
        <v>13.243681724740558</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290.78918279315889</v>
      </c>
      <c r="AH27" s="25">
        <f t="shared" si="32"/>
        <v>0</v>
      </c>
      <c r="AI27" s="25">
        <f t="shared" si="33"/>
        <v>0</v>
      </c>
      <c r="AJ27" s="25">
        <f t="shared" si="34"/>
        <v>0</v>
      </c>
      <c r="AL27" t="b">
        <f>AND(includeracials,CharRace="Orc")</f>
        <v>0</v>
      </c>
      <c r="AM27" t="s">
        <v>2917</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207.49804426514967</v>
      </c>
      <c r="AD28" s="29">
        <f t="shared" si="12"/>
        <v>1.471059363321026</v>
      </c>
      <c r="AE28" s="25">
        <f t="shared" si="22"/>
        <v>13.243681724740558</v>
      </c>
      <c r="AF28" s="25">
        <f t="shared" si="14"/>
        <v>13.243681724740558</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290.78918279315889</v>
      </c>
      <c r="AH28" s="25">
        <f t="shared" si="32"/>
        <v>0</v>
      </c>
      <c r="AI28" s="25">
        <f t="shared" si="33"/>
        <v>0</v>
      </c>
      <c r="AJ28" s="25">
        <f t="shared" si="34"/>
        <v>0</v>
      </c>
      <c r="AL28" t="b">
        <f>AND(Talents!O36="No", 'Gear &amp; Buffs'!B135&gt;0)</f>
        <v>1</v>
      </c>
      <c r="AM28" t="s">
        <v>1333</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207.49804426514967</v>
      </c>
      <c r="AD29" s="29">
        <f t="shared" si="12"/>
        <v>1.471059363321026</v>
      </c>
      <c r="AE29" s="25">
        <f t="shared" si="22"/>
        <v>13.243681724740558</v>
      </c>
      <c r="AF29" s="25">
        <f t="shared" si="14"/>
        <v>13.243681724740558</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290.78918279315889</v>
      </c>
      <c r="AH29" s="25">
        <f t="shared" si="32"/>
        <v>0</v>
      </c>
      <c r="AI29" s="25">
        <f t="shared" si="33"/>
        <v>0</v>
      </c>
      <c r="AJ29" s="25">
        <f t="shared" si="34"/>
        <v>0</v>
      </c>
      <c r="AL29" t="b">
        <f>AND(Talents!O36="No",'Gear &amp; Buffs'!B136&gt;0)</f>
        <v>1</v>
      </c>
      <c r="AM29" t="s">
        <v>1331</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207.49804426514967</v>
      </c>
      <c r="AD30" s="29">
        <f t="shared" si="12"/>
        <v>1.471059363321026</v>
      </c>
      <c r="AE30" s="25">
        <f t="shared" si="22"/>
        <v>13.243681724740558</v>
      </c>
      <c r="AF30" s="25">
        <f t="shared" si="14"/>
        <v>13.243681724740558</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290.78918279315889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207.49804426514967</v>
      </c>
      <c r="AD31" s="29">
        <f t="shared" si="12"/>
        <v>1.471059363321026</v>
      </c>
      <c r="AE31" s="25">
        <f t="shared" si="22"/>
        <v>13.243681724740558</v>
      </c>
      <c r="AF31" s="25">
        <f t="shared" si="14"/>
        <v>13.243681724740558</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290.78918279315889</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207.49804426514967</v>
      </c>
      <c r="AD32" s="29">
        <f t="shared" si="12"/>
        <v>1.471059363321026</v>
      </c>
      <c r="AE32" s="25">
        <f t="shared" si="22"/>
        <v>13.243681724740558</v>
      </c>
      <c r="AF32" s="25">
        <f t="shared" si="14"/>
        <v>13.243681724740558</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290.78918279315889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127.49804426514967</v>
      </c>
      <c r="AD33" s="29">
        <f t="shared" si="12"/>
        <v>1.4051081438088309</v>
      </c>
      <c r="AE33" s="25">
        <f t="shared" si="22"/>
        <v>13.243681724740558</v>
      </c>
      <c r="AF33" s="25">
        <f t="shared" si="14"/>
        <v>13.243681724740558</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290.78918279315889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127.49804426514967</v>
      </c>
      <c r="AD34" s="29">
        <f t="shared" si="12"/>
        <v>1.4051081438088309</v>
      </c>
      <c r="AE34" s="25">
        <f t="shared" si="22"/>
        <v>13.243681724740558</v>
      </c>
      <c r="AF34" s="25">
        <f t="shared" si="14"/>
        <v>13.243681724740558</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290.78918279315889</v>
      </c>
      <c r="AH34" s="25">
        <f t="shared" si="32"/>
        <v>0</v>
      </c>
      <c r="AI34" s="25">
        <f t="shared" si="33"/>
        <v>0</v>
      </c>
      <c r="AJ34" s="25">
        <f t="shared" si="34"/>
        <v>0</v>
      </c>
      <c r="AL34" t="b">
        <f>OR(trinket1=AM34, trinket2=AM34)</f>
        <v>0</v>
      </c>
      <c r="AM34" t="s">
        <v>1955</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127.49804426514967</v>
      </c>
      <c r="AD35" s="29">
        <f t="shared" si="12"/>
        <v>1.4051081438088309</v>
      </c>
      <c r="AE35" s="25">
        <f t="shared" si="22"/>
        <v>13.243681724740558</v>
      </c>
      <c r="AF35" s="25">
        <f t="shared" si="14"/>
        <v>13.243681724740558</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290.78918279315889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127.49804426514967</v>
      </c>
      <c r="AD36" s="29">
        <f t="shared" si="12"/>
        <v>1.4051081438088309</v>
      </c>
      <c r="AE36" s="25">
        <f t="shared" si="22"/>
        <v>13.243681724740558</v>
      </c>
      <c r="AF36" s="25">
        <f t="shared" si="14"/>
        <v>13.243681724740558</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290.78918279315889</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127.49804426514967</v>
      </c>
      <c r="AD37" s="29">
        <f t="shared" si="12"/>
        <v>1.4051081438088309</v>
      </c>
      <c r="AE37" s="25">
        <f t="shared" si="22"/>
        <v>13.243681724740558</v>
      </c>
      <c r="AF37" s="25">
        <f t="shared" si="14"/>
        <v>13.243681724740558</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290.78918279315889</v>
      </c>
      <c r="AH37" s="25">
        <f t="shared" si="32"/>
        <v>0</v>
      </c>
      <c r="AI37" s="25">
        <f t="shared" si="33"/>
        <v>0</v>
      </c>
      <c r="AJ37" s="25">
        <f t="shared" si="34"/>
        <v>0</v>
      </c>
      <c r="AL37" t="b">
        <f>arush&gt;0</f>
        <v>1</v>
      </c>
      <c r="AM37" t="s">
        <v>751</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127.49804426514967</v>
      </c>
      <c r="AD38" s="29">
        <f t="shared" si="12"/>
        <v>1.4051081438088309</v>
      </c>
      <c r="AE38" s="25">
        <f t="shared" si="22"/>
        <v>13.243681724740558</v>
      </c>
      <c r="AF38" s="25">
        <f t="shared" si="14"/>
        <v>13.243681724740558</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290.78918279315889</v>
      </c>
      <c r="AH38" s="25">
        <f t="shared" si="32"/>
        <v>0</v>
      </c>
      <c r="AI38" s="25">
        <f t="shared" si="33"/>
        <v>0</v>
      </c>
      <c r="AJ38" s="25">
        <f t="shared" si="34"/>
        <v>0</v>
      </c>
      <c r="AL38" t="b">
        <f>AND(Talents!O36="No", 'Gear &amp; Buffs'!B138&gt;0)</f>
        <v>1</v>
      </c>
      <c r="AM38" t="s">
        <v>1334</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127.49804426514967</v>
      </c>
      <c r="AD39" s="29">
        <f t="shared" si="12"/>
        <v>1.4051081438088309</v>
      </c>
      <c r="AE39" s="25">
        <f t="shared" si="22"/>
        <v>13.243681724740558</v>
      </c>
      <c r="AF39" s="25">
        <f t="shared" si="14"/>
        <v>13.243681724740558</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290.78918279315889</v>
      </c>
      <c r="AH39" s="25">
        <f t="shared" si="32"/>
        <v>0</v>
      </c>
      <c r="AI39" s="25">
        <f t="shared" si="33"/>
        <v>0</v>
      </c>
      <c r="AJ39" s="25">
        <f t="shared" si="34"/>
        <v>0</v>
      </c>
      <c r="AL39" t="b">
        <f>AND(includeracials,CharRace="Blood Elf",hasmana)</f>
        <v>0</v>
      </c>
      <c r="AM39" t="s">
        <v>2999</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127.49804426514967</v>
      </c>
      <c r="AD40" s="29">
        <f t="shared" si="12"/>
        <v>1.4051081438088309</v>
      </c>
      <c r="AE40" s="25">
        <f t="shared" si="22"/>
        <v>13.243681724740558</v>
      </c>
      <c r="AF40" s="25">
        <f t="shared" si="14"/>
        <v>13.243681724740558</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290.78918279315889</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127.49804426514967</v>
      </c>
      <c r="AD41" s="29">
        <f t="shared" si="12"/>
        <v>1.4051081438088309</v>
      </c>
      <c r="AE41" s="25">
        <f t="shared" si="22"/>
        <v>13.243681724740558</v>
      </c>
      <c r="AF41" s="25">
        <f t="shared" si="14"/>
        <v>13.243681724740558</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290.78918279315889</v>
      </c>
      <c r="AH41" s="25">
        <f t="shared" si="32"/>
        <v>0</v>
      </c>
      <c r="AI41" s="25">
        <f t="shared" si="33"/>
        <v>0</v>
      </c>
      <c r="AJ41" s="25">
        <f t="shared" si="34"/>
        <v>0</v>
      </c>
      <c r="AL41" t="b">
        <f>AND(Talents!O36="No", 'Gear &amp; Buffs'!B107&gt;0)</f>
        <v>1</v>
      </c>
      <c r="AM41" t="s">
        <v>2952</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127.49804426514967</v>
      </c>
      <c r="AD42" s="29">
        <f t="shared" si="12"/>
        <v>1.4051081438088309</v>
      </c>
      <c r="AE42" s="25">
        <f t="shared" si="22"/>
        <v>13.243681724740558</v>
      </c>
      <c r="AF42" s="25">
        <f t="shared" si="14"/>
        <v>13.243681724740558</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290.78918279315889</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127.49804426514967</v>
      </c>
      <c r="AD43" s="29">
        <f t="shared" si="12"/>
        <v>1.0808524183144852</v>
      </c>
      <c r="AE43" s="25">
        <f t="shared" si="22"/>
        <v>13.243681724740558</v>
      </c>
      <c r="AF43" s="25">
        <f t="shared" si="14"/>
        <v>13.243681724740558</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290.78918279315889</v>
      </c>
      <c r="AH43" s="25">
        <f t="shared" si="32"/>
        <v>0</v>
      </c>
      <c r="AI43" s="25">
        <f t="shared" si="33"/>
        <v>0</v>
      </c>
      <c r="AJ43" s="25">
        <f t="shared" si="34"/>
        <v>0</v>
      </c>
      <c r="AM43" t="s">
        <v>2920</v>
      </c>
      <c r="AN43" s="892">
        <f>'Gear &amp; Buffs'!P143</f>
        <v>127.49804426514967</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127.49804426514967</v>
      </c>
      <c r="AD44" s="29">
        <f t="shared" si="12"/>
        <v>1.0808524183144852</v>
      </c>
      <c r="AE44" s="25">
        <f t="shared" si="22"/>
        <v>13.243681724740558</v>
      </c>
      <c r="AF44" s="25">
        <f t="shared" si="14"/>
        <v>13.243681724740558</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290.78918279315889</v>
      </c>
      <c r="AH44" s="25">
        <f t="shared" si="32"/>
        <v>0</v>
      </c>
      <c r="AI44" s="25">
        <f t="shared" si="33"/>
        <v>0</v>
      </c>
      <c r="AJ44" s="25">
        <f t="shared" si="34"/>
        <v>0</v>
      </c>
      <c r="AM44" t="s">
        <v>1473</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127.49804426514967</v>
      </c>
      <c r="AD45" s="29">
        <f t="shared" si="12"/>
        <v>1.0808524183144852</v>
      </c>
      <c r="AE45" s="25">
        <f t="shared" si="22"/>
        <v>13.243681724740558</v>
      </c>
      <c r="AF45" s="25">
        <f t="shared" si="14"/>
        <v>13.243681724740558</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290.78918279315889</v>
      </c>
      <c r="AH45" s="25">
        <f t="shared" si="32"/>
        <v>0</v>
      </c>
      <c r="AI45" s="25">
        <f t="shared" si="33"/>
        <v>0</v>
      </c>
      <c r="AJ45" s="25">
        <f t="shared" si="34"/>
        <v>0</v>
      </c>
      <c r="AM45" t="s">
        <v>320</v>
      </c>
      <c r="AN45" s="897">
        <f>(sndeec+AO45)*AR45+(eec+AO45)*(1-AR45)</f>
        <v>13.243681724740558</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127.49804426514967</v>
      </c>
      <c r="AD46" s="29">
        <f t="shared" si="12"/>
        <v>1.0808524183144852</v>
      </c>
      <c r="AE46" s="25">
        <f t="shared" si="22"/>
        <v>13.243681724740558</v>
      </c>
      <c r="AF46" s="25">
        <f t="shared" si="14"/>
        <v>13.243681724740558</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290.78918279315889</v>
      </c>
      <c r="AH46" s="25">
        <f t="shared" si="32"/>
        <v>0</v>
      </c>
      <c r="AI46" s="25">
        <f t="shared" si="33"/>
        <v>0</v>
      </c>
      <c r="AJ46" s="25">
        <f t="shared" si="34"/>
        <v>0</v>
      </c>
      <c r="AM46" t="s">
        <v>2995</v>
      </c>
      <c r="AN46" s="25">
        <f>avginst*fwfactor*bGlobDam*(1+DDmult)*armor</f>
        <v>1014.2539107824621</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127.49804426514967</v>
      </c>
      <c r="AD47" s="29">
        <f t="shared" si="12"/>
        <v>1.0808524183144852</v>
      </c>
      <c r="AE47" s="25">
        <f t="shared" si="22"/>
        <v>13.243681724740558</v>
      </c>
      <c r="AF47" s="25">
        <f t="shared" si="14"/>
        <v>13.243681724740558</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290.78918279315889</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127.49804426514967</v>
      </c>
      <c r="AD48" s="29">
        <f t="shared" si="12"/>
        <v>1.0808524183144852</v>
      </c>
      <c r="AE48" s="25">
        <f t="shared" si="22"/>
        <v>13.243681724740558</v>
      </c>
      <c r="AF48" s="25">
        <f t="shared" si="14"/>
        <v>13.243681724740558</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290.78918279315889</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127.49804426514967</v>
      </c>
      <c r="AD49" s="29">
        <f t="shared" si="12"/>
        <v>1.0808524183144852</v>
      </c>
      <c r="AE49" s="25">
        <f t="shared" si="22"/>
        <v>13.243681724740558</v>
      </c>
      <c r="AF49" s="25">
        <f t="shared" si="14"/>
        <v>13.243681724740558</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290.78918279315889</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127.49804426514967</v>
      </c>
      <c r="AD50" s="29">
        <f t="shared" si="12"/>
        <v>1.0808524183144852</v>
      </c>
      <c r="AE50" s="25">
        <f t="shared" si="22"/>
        <v>13.243681724740558</v>
      </c>
      <c r="AF50" s="25">
        <f t="shared" si="14"/>
        <v>13.243681724740558</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290.78918279315889</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127.49804426514967</v>
      </c>
      <c r="AD51" s="29">
        <f t="shared" si="12"/>
        <v>1.0808524183144852</v>
      </c>
      <c r="AE51" s="25">
        <f t="shared" si="22"/>
        <v>13.243681724740558</v>
      </c>
      <c r="AF51" s="25">
        <f t="shared" si="14"/>
        <v>13.243681724740558</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290.78918279315889</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127.49804426514967</v>
      </c>
      <c r="AD52" s="29">
        <f t="shared" si="12"/>
        <v>1.0808524183144852</v>
      </c>
      <c r="AE52" s="25">
        <f t="shared" si="22"/>
        <v>13.243681724740558</v>
      </c>
      <c r="AF52" s="25">
        <f t="shared" si="14"/>
        <v>13.243681724740558</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290.78918279315889</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127.49804426514967</v>
      </c>
      <c r="AD53" s="29">
        <f t="shared" si="12"/>
        <v>1.0808524183144852</v>
      </c>
      <c r="AE53" s="25">
        <f t="shared" si="22"/>
        <v>13.243681724740558</v>
      </c>
      <c r="AF53" s="25">
        <f t="shared" si="14"/>
        <v>13.243681724740558</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290.78918279315889</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127.49804426514967</v>
      </c>
      <c r="AD54" s="29">
        <f t="shared" si="12"/>
        <v>1.0808524183144852</v>
      </c>
      <c r="AE54" s="25">
        <f t="shared" si="22"/>
        <v>13.243681724740558</v>
      </c>
      <c r="AF54" s="25">
        <f t="shared" si="14"/>
        <v>13.243681724740558</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290.78918279315889</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127.49804426514967</v>
      </c>
      <c r="AD55" s="29">
        <f t="shared" si="12"/>
        <v>1.0808524183144852</v>
      </c>
      <c r="AE55" s="25">
        <f t="shared" si="22"/>
        <v>13.243681724740558</v>
      </c>
      <c r="AF55" s="25">
        <f t="shared" si="14"/>
        <v>13.243681724740558</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290.78918279315889</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127.49804426514967</v>
      </c>
      <c r="AD56" s="29">
        <f t="shared" si="12"/>
        <v>1.0808524183144852</v>
      </c>
      <c r="AE56" s="25">
        <f t="shared" si="22"/>
        <v>13.243681724740558</v>
      </c>
      <c r="AF56" s="25">
        <f t="shared" si="14"/>
        <v>13.243681724740558</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290.78918279315889</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127.49804426514967</v>
      </c>
      <c r="AD57" s="29">
        <f t="shared" si="12"/>
        <v>1.0808524183144852</v>
      </c>
      <c r="AE57" s="25">
        <f t="shared" si="22"/>
        <v>13.243681724740558</v>
      </c>
      <c r="AF57" s="25">
        <f t="shared" si="14"/>
        <v>13.243681724740558</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290.78918279315889</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127.49804426514967</v>
      </c>
      <c r="AD58" s="29">
        <f t="shared" si="12"/>
        <v>1.0808524183144852</v>
      </c>
      <c r="AE58" s="25">
        <f t="shared" si="22"/>
        <v>13.243681724740558</v>
      </c>
      <c r="AF58" s="25">
        <f t="shared" si="14"/>
        <v>13.243681724740558</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290.78918279315889</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127.49804426514967</v>
      </c>
      <c r="AD59" s="29">
        <f t="shared" si="12"/>
        <v>1.0808524183144852</v>
      </c>
      <c r="AE59" s="25">
        <f t="shared" si="22"/>
        <v>13.243681724740558</v>
      </c>
      <c r="AF59" s="25">
        <f t="shared" si="14"/>
        <v>13.243681724740558</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290.78918279315889</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127.49804426514967</v>
      </c>
      <c r="AD60" s="29">
        <f t="shared" si="12"/>
        <v>1.0808524183144852</v>
      </c>
      <c r="AE60" s="25">
        <f t="shared" si="22"/>
        <v>13.243681724740558</v>
      </c>
      <c r="AF60" s="25">
        <f t="shared" si="14"/>
        <v>13.243681724740558</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290.78918279315889</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127.49804426514967</v>
      </c>
      <c r="AD61" s="29">
        <f t="shared" si="12"/>
        <v>1.0808524183144852</v>
      </c>
      <c r="AE61" s="25">
        <f t="shared" si="22"/>
        <v>13.243681724740558</v>
      </c>
      <c r="AF61" s="25">
        <f t="shared" si="14"/>
        <v>13.243681724740558</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290.78918279315889</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127.49804426514967</v>
      </c>
      <c r="AD62" s="29">
        <f t="shared" si="12"/>
        <v>1.0808524183144852</v>
      </c>
      <c r="AE62" s="25">
        <f t="shared" si="22"/>
        <v>13.243681724740558</v>
      </c>
      <c r="AF62" s="25">
        <f t="shared" si="14"/>
        <v>13.243681724740558</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290.78918279315889</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127.49804426514967</v>
      </c>
      <c r="AD63" s="29">
        <f t="shared" si="12"/>
        <v>1.0808524183144852</v>
      </c>
      <c r="AE63" s="25">
        <f t="shared" si="22"/>
        <v>13.243681724740558</v>
      </c>
      <c r="AF63" s="25">
        <f t="shared" si="14"/>
        <v>13.243681724740558</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290.78918279315889</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127.49804426514967</v>
      </c>
      <c r="AD64" s="29">
        <f t="shared" si="12"/>
        <v>1.0808524183144852</v>
      </c>
      <c r="AE64" s="25">
        <f t="shared" si="22"/>
        <v>13.243681724740558</v>
      </c>
      <c r="AF64" s="25">
        <f t="shared" si="14"/>
        <v>13.243681724740558</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290.78918279315889</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127.49804426514967</v>
      </c>
      <c r="AD65" s="29">
        <f t="shared" si="12"/>
        <v>1.0808524183144852</v>
      </c>
      <c r="AE65" s="25">
        <f t="shared" si="22"/>
        <v>13.243681724740558</v>
      </c>
      <c r="AF65" s="25">
        <f t="shared" si="14"/>
        <v>13.243681724740558</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290.78918279315889</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127.49804426514967</v>
      </c>
      <c r="AD66" s="29">
        <f t="shared" si="12"/>
        <v>1.0808524183144852</v>
      </c>
      <c r="AE66" s="25">
        <f t="shared" si="22"/>
        <v>13.243681724740558</v>
      </c>
      <c r="AF66" s="25">
        <f t="shared" si="14"/>
        <v>13.243681724740558</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290.78918279315889</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127.49804426514967</v>
      </c>
      <c r="AD67" s="29">
        <f t="shared" ref="AD67:AD130" si="51">IF($A67&lt;0,0,(1+$AC67/(hasterate*100))*(1+$AS$26/100*AND($J67&gt;0,$J67&lt;=$AT$26))*(1+$AS$35/100*AND($M67&gt;0,$M67&lt;=$AT$35))*(1+0.3*($X67&gt;0)))</f>
        <v>1.0808524183144852</v>
      </c>
      <c r="AE67" s="25">
        <f t="shared" si="22"/>
        <v>13.243681724740558</v>
      </c>
      <c r="AF67" s="25">
        <f t="shared" ref="AF67:AF130" si="52">MIN(instcost,AE67)</f>
        <v>13.243681724740558</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290.78918279315889</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127.49804426514967</v>
      </c>
      <c r="AD68" s="29">
        <f t="shared" si="51"/>
        <v>1.0808524183144852</v>
      </c>
      <c r="AE68" s="25">
        <f t="shared" ref="AE68:AE131" si="60">IF($A68&lt;0,0,$AN$45+IF($P68&gt;0,$AN$37*$AL$37,0)+$S68*(60-IF(CharLevel&gt;60,(CharLevel-60)*2,0))*$AL$38+IF($J68=1,$AL$26*-25+IF($AL$39, 30, 0),0)+IF($M68=1,$AL$35*-10,0)+IF(AE67&gt;instcost,AE67-instcost,0))</f>
        <v>13.243681724740558</v>
      </c>
      <c r="AF68" s="25">
        <f t="shared" si="52"/>
        <v>13.243681724740558</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290.78918279315889</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127.49804426514967</v>
      </c>
      <c r="AD69" s="29">
        <f t="shared" si="51"/>
        <v>1.0808524183144852</v>
      </c>
      <c r="AE69" s="25">
        <f t="shared" si="60"/>
        <v>13.243681724740558</v>
      </c>
      <c r="AF69" s="25">
        <f t="shared" si="52"/>
        <v>13.243681724740558</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290.78918279315889</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127.49804426514967</v>
      </c>
      <c r="AD70" s="29">
        <f t="shared" si="51"/>
        <v>1.0808524183144852</v>
      </c>
      <c r="AE70" s="25">
        <f t="shared" si="60"/>
        <v>13.243681724740558</v>
      </c>
      <c r="AF70" s="25">
        <f t="shared" si="52"/>
        <v>13.243681724740558</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290.78918279315889</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127.49804426514967</v>
      </c>
      <c r="AD71" s="29">
        <f t="shared" si="51"/>
        <v>1.0808524183144852</v>
      </c>
      <c r="AE71" s="25">
        <f t="shared" si="60"/>
        <v>13.243681724740558</v>
      </c>
      <c r="AF71" s="25">
        <f t="shared" si="52"/>
        <v>13.243681724740558</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290.78918279315889</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127.49804426514967</v>
      </c>
      <c r="AD72" s="29">
        <f t="shared" si="51"/>
        <v>1.0808524183144852</v>
      </c>
      <c r="AE72" s="25">
        <f t="shared" si="60"/>
        <v>13.243681724740558</v>
      </c>
      <c r="AF72" s="25">
        <f t="shared" si="52"/>
        <v>13.243681724740558</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290.78918279315889</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127.49804426514967</v>
      </c>
      <c r="AD73" s="29">
        <f t="shared" si="51"/>
        <v>1.0808524183144852</v>
      </c>
      <c r="AE73" s="25">
        <f t="shared" si="60"/>
        <v>13.243681724740558</v>
      </c>
      <c r="AF73" s="25">
        <f t="shared" si="52"/>
        <v>13.243681724740558</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290.78918279315889</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127.49804426514967</v>
      </c>
      <c r="AD74" s="29">
        <f t="shared" si="51"/>
        <v>1.0808524183144852</v>
      </c>
      <c r="AE74" s="25">
        <f t="shared" si="60"/>
        <v>13.243681724740558</v>
      </c>
      <c r="AF74" s="25">
        <f t="shared" si="52"/>
        <v>13.243681724740558</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290.78918279315889</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127.49804426514967</v>
      </c>
      <c r="AD75" s="29">
        <f t="shared" si="51"/>
        <v>1.0808524183144852</v>
      </c>
      <c r="AE75" s="25">
        <f t="shared" si="60"/>
        <v>13.243681724740558</v>
      </c>
      <c r="AF75" s="25">
        <f t="shared" si="52"/>
        <v>13.243681724740558</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290.78918279315889</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127.49804426514967</v>
      </c>
      <c r="AD76" s="29">
        <f t="shared" si="51"/>
        <v>1.0808524183144852</v>
      </c>
      <c r="AE76" s="25">
        <f t="shared" si="60"/>
        <v>13.243681724740558</v>
      </c>
      <c r="AF76" s="25">
        <f t="shared" si="52"/>
        <v>13.243681724740558</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290.78918279315889</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127.49804426514967</v>
      </c>
      <c r="AD77" s="29">
        <f t="shared" si="51"/>
        <v>1.0808524183144852</v>
      </c>
      <c r="AE77" s="25">
        <f t="shared" si="60"/>
        <v>13.243681724740558</v>
      </c>
      <c r="AF77" s="25">
        <f t="shared" si="52"/>
        <v>13.243681724740558</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290.78918279315889</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127.49804426514967</v>
      </c>
      <c r="AD78" s="29">
        <f t="shared" si="51"/>
        <v>1.0808524183144852</v>
      </c>
      <c r="AE78" s="25">
        <f t="shared" si="60"/>
        <v>13.243681724740558</v>
      </c>
      <c r="AF78" s="25">
        <f t="shared" si="52"/>
        <v>13.243681724740558</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290.78918279315889</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127.49804426514967</v>
      </c>
      <c r="AD79" s="29">
        <f t="shared" si="51"/>
        <v>1.0808524183144852</v>
      </c>
      <c r="AE79" s="25">
        <f t="shared" si="60"/>
        <v>13.243681724740558</v>
      </c>
      <c r="AF79" s="25">
        <f t="shared" si="52"/>
        <v>13.243681724740558</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290.78918279315889</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127.49804426514967</v>
      </c>
      <c r="AD80" s="29">
        <f t="shared" si="51"/>
        <v>1.0808524183144852</v>
      </c>
      <c r="AE80" s="25">
        <f t="shared" si="60"/>
        <v>13.243681724740558</v>
      </c>
      <c r="AF80" s="25">
        <f t="shared" si="52"/>
        <v>13.243681724740558</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290.78918279315889</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127.49804426514967</v>
      </c>
      <c r="AD81" s="29">
        <f t="shared" si="51"/>
        <v>1.0808524183144852</v>
      </c>
      <c r="AE81" s="25">
        <f t="shared" si="60"/>
        <v>13.243681724740558</v>
      </c>
      <c r="AF81" s="25">
        <f t="shared" si="52"/>
        <v>13.243681724740558</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290.78918279315889</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127.49804426514967</v>
      </c>
      <c r="AD82" s="29">
        <f t="shared" si="51"/>
        <v>1.0808524183144852</v>
      </c>
      <c r="AE82" s="25">
        <f t="shared" si="60"/>
        <v>13.243681724740558</v>
      </c>
      <c r="AF82" s="25">
        <f t="shared" si="52"/>
        <v>13.243681724740558</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290.78918279315889</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127.49804426514967</v>
      </c>
      <c r="AD83" s="29">
        <f t="shared" si="51"/>
        <v>1.0808524183144852</v>
      </c>
      <c r="AE83" s="25">
        <f t="shared" si="60"/>
        <v>13.243681724740558</v>
      </c>
      <c r="AF83" s="25">
        <f t="shared" si="52"/>
        <v>13.243681724740558</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290.78918279315889</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127.49804426514967</v>
      </c>
      <c r="AD84" s="29">
        <f t="shared" si="51"/>
        <v>1.0808524183144852</v>
      </c>
      <c r="AE84" s="25">
        <f t="shared" si="60"/>
        <v>13.243681724740558</v>
      </c>
      <c r="AF84" s="25">
        <f t="shared" si="52"/>
        <v>13.243681724740558</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290.78918279315889</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127.49804426514967</v>
      </c>
      <c r="AD85" s="29">
        <f t="shared" si="51"/>
        <v>1.0808524183144852</v>
      </c>
      <c r="AE85" s="25">
        <f t="shared" si="60"/>
        <v>13.243681724740558</v>
      </c>
      <c r="AF85" s="25">
        <f t="shared" si="52"/>
        <v>13.243681724740558</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290.78918279315889</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127.49804426514967</v>
      </c>
      <c r="AD86" s="29">
        <f t="shared" si="51"/>
        <v>1.0808524183144852</v>
      </c>
      <c r="AE86" s="25">
        <f t="shared" si="60"/>
        <v>13.243681724740558</v>
      </c>
      <c r="AF86" s="25">
        <f t="shared" si="52"/>
        <v>13.243681724740558</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290.78918279315889</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127.49804426514967</v>
      </c>
      <c r="AD87" s="29">
        <f t="shared" si="51"/>
        <v>1.0808524183144852</v>
      </c>
      <c r="AE87" s="25">
        <f t="shared" si="60"/>
        <v>13.243681724740558</v>
      </c>
      <c r="AF87" s="25">
        <f t="shared" si="52"/>
        <v>13.243681724740558</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290.78918279315889</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127.49804426514967</v>
      </c>
      <c r="AD88" s="29">
        <f t="shared" si="51"/>
        <v>1.0808524183144852</v>
      </c>
      <c r="AE88" s="25">
        <f t="shared" si="60"/>
        <v>13.243681724740558</v>
      </c>
      <c r="AF88" s="25">
        <f t="shared" si="52"/>
        <v>13.243681724740558</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290.78918279315889</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127.49804426514967</v>
      </c>
      <c r="AD89" s="29">
        <f t="shared" si="51"/>
        <v>1.0808524183144852</v>
      </c>
      <c r="AE89" s="25">
        <f t="shared" si="60"/>
        <v>13.243681724740558</v>
      </c>
      <c r="AF89" s="25">
        <f t="shared" si="52"/>
        <v>13.243681724740558</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290.78918279315889</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127.49804426514967</v>
      </c>
      <c r="AD90" s="29">
        <f t="shared" si="51"/>
        <v>1.0808524183144852</v>
      </c>
      <c r="AE90" s="25">
        <f t="shared" si="60"/>
        <v>13.243681724740558</v>
      </c>
      <c r="AF90" s="25">
        <f t="shared" si="52"/>
        <v>13.243681724740558</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290.78918279315889</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127.49804426514967</v>
      </c>
      <c r="AD91" s="29">
        <f t="shared" si="51"/>
        <v>1.0808524183144852</v>
      </c>
      <c r="AE91" s="25">
        <f t="shared" si="60"/>
        <v>13.243681724740558</v>
      </c>
      <c r="AF91" s="25">
        <f t="shared" si="52"/>
        <v>13.243681724740558</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290.78918279315889</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127.49804426514967</v>
      </c>
      <c r="AD92" s="29">
        <f t="shared" si="51"/>
        <v>1.0808524183144852</v>
      </c>
      <c r="AE92" s="25">
        <f t="shared" si="60"/>
        <v>13.243681724740558</v>
      </c>
      <c r="AF92" s="25">
        <f t="shared" si="52"/>
        <v>13.243681724740558</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290.78918279315889</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127.49804426514967</v>
      </c>
      <c r="AD93" s="29">
        <f t="shared" si="51"/>
        <v>1.0808524183144852</v>
      </c>
      <c r="AE93" s="25">
        <f t="shared" si="60"/>
        <v>13.243681724740558</v>
      </c>
      <c r="AF93" s="25">
        <f t="shared" si="52"/>
        <v>13.243681724740558</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290.78918279315889</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127.49804426514967</v>
      </c>
      <c r="AD94" s="29">
        <f t="shared" si="51"/>
        <v>1.0808524183144852</v>
      </c>
      <c r="AE94" s="25">
        <f t="shared" si="60"/>
        <v>13.243681724740558</v>
      </c>
      <c r="AF94" s="25">
        <f t="shared" si="52"/>
        <v>13.243681724740558</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290.78918279315889</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127.49804426514967</v>
      </c>
      <c r="AD95" s="29">
        <f t="shared" si="51"/>
        <v>1.0808524183144852</v>
      </c>
      <c r="AE95" s="25">
        <f t="shared" si="60"/>
        <v>13.243681724740558</v>
      </c>
      <c r="AF95" s="25">
        <f t="shared" si="52"/>
        <v>13.243681724740558</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290.78918279315889</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127.49804426514967</v>
      </c>
      <c r="AD96" s="29">
        <f t="shared" si="51"/>
        <v>1.0808524183144852</v>
      </c>
      <c r="AE96" s="25">
        <f t="shared" si="60"/>
        <v>13.243681724740558</v>
      </c>
      <c r="AF96" s="25">
        <f t="shared" si="52"/>
        <v>13.243681724740558</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290.78918279315889</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127.49804426514967</v>
      </c>
      <c r="AD97" s="29">
        <f t="shared" si="51"/>
        <v>1.0808524183144852</v>
      </c>
      <c r="AE97" s="25">
        <f t="shared" si="60"/>
        <v>13.243681724740558</v>
      </c>
      <c r="AF97" s="25">
        <f t="shared" si="52"/>
        <v>13.243681724740558</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290.78918279315889</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127.49804426514967</v>
      </c>
      <c r="AD98" s="29">
        <f t="shared" si="51"/>
        <v>1.0808524183144852</v>
      </c>
      <c r="AE98" s="25">
        <f t="shared" si="60"/>
        <v>13.243681724740558</v>
      </c>
      <c r="AF98" s="25">
        <f t="shared" si="52"/>
        <v>13.243681724740558</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290.78918279315889</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127.49804426514967</v>
      </c>
      <c r="AD99" s="29">
        <f t="shared" si="51"/>
        <v>1.0808524183144852</v>
      </c>
      <c r="AE99" s="25">
        <f t="shared" si="60"/>
        <v>13.243681724740558</v>
      </c>
      <c r="AF99" s="25">
        <f t="shared" si="52"/>
        <v>13.243681724740558</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290.78918279315889</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127.49804426514967</v>
      </c>
      <c r="AD100" s="29">
        <f t="shared" si="51"/>
        <v>1.0808524183144852</v>
      </c>
      <c r="AE100" s="25">
        <f t="shared" si="60"/>
        <v>13.243681724740558</v>
      </c>
      <c r="AF100" s="25">
        <f t="shared" si="52"/>
        <v>13.243681724740558</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290.78918279315889</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127.49804426514967</v>
      </c>
      <c r="AD101" s="29">
        <f t="shared" si="51"/>
        <v>1.0808524183144852</v>
      </c>
      <c r="AE101" s="25">
        <f t="shared" si="60"/>
        <v>13.243681724740558</v>
      </c>
      <c r="AF101" s="25">
        <f t="shared" si="52"/>
        <v>13.243681724740558</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290.78918279315889</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127.49804426514967</v>
      </c>
      <c r="AD102" s="29">
        <f t="shared" si="51"/>
        <v>1.0808524183144852</v>
      </c>
      <c r="AE102" s="25">
        <f t="shared" si="60"/>
        <v>13.243681724740558</v>
      </c>
      <c r="AF102" s="25">
        <f t="shared" si="52"/>
        <v>13.243681724740558</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290.78918279315889</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127.49804426514967</v>
      </c>
      <c r="AD103" s="29">
        <f t="shared" si="51"/>
        <v>1.0808524183144852</v>
      </c>
      <c r="AE103" s="25">
        <f t="shared" si="60"/>
        <v>13.243681724740558</v>
      </c>
      <c r="AF103" s="25">
        <f t="shared" si="52"/>
        <v>13.243681724740558</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290.78918279315889</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127.49804426514967</v>
      </c>
      <c r="AD104" s="29">
        <f t="shared" si="51"/>
        <v>1.0808524183144852</v>
      </c>
      <c r="AE104" s="25">
        <f t="shared" si="60"/>
        <v>13.243681724740558</v>
      </c>
      <c r="AF104" s="25">
        <f t="shared" si="52"/>
        <v>13.243681724740558</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290.78918279315889</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127.49804426514967</v>
      </c>
      <c r="AD105" s="29">
        <f t="shared" si="51"/>
        <v>1.0808524183144852</v>
      </c>
      <c r="AE105" s="25">
        <f t="shared" si="60"/>
        <v>13.243681724740558</v>
      </c>
      <c r="AF105" s="25">
        <f t="shared" si="52"/>
        <v>13.243681724740558</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290.78918279315889</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127.49804426514967</v>
      </c>
      <c r="AD106" s="29">
        <f t="shared" si="51"/>
        <v>1.0808524183144852</v>
      </c>
      <c r="AE106" s="25">
        <f t="shared" si="60"/>
        <v>13.243681724740558</v>
      </c>
      <c r="AF106" s="25">
        <f t="shared" si="52"/>
        <v>13.243681724740558</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290.78918279315889</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127.49804426514967</v>
      </c>
      <c r="AD107" s="29">
        <f t="shared" si="51"/>
        <v>1.0808524183144852</v>
      </c>
      <c r="AE107" s="25">
        <f t="shared" si="60"/>
        <v>13.243681724740558</v>
      </c>
      <c r="AF107" s="25">
        <f t="shared" si="52"/>
        <v>13.243681724740558</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290.78918279315889</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127.49804426514967</v>
      </c>
      <c r="AD108" s="29">
        <f t="shared" si="51"/>
        <v>1.0808524183144852</v>
      </c>
      <c r="AE108" s="25">
        <f t="shared" si="60"/>
        <v>13.243681724740558</v>
      </c>
      <c r="AF108" s="25">
        <f t="shared" si="52"/>
        <v>13.243681724740558</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290.78918279315889</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127.49804426514967</v>
      </c>
      <c r="AD109" s="29">
        <f t="shared" si="51"/>
        <v>1.0808524183144852</v>
      </c>
      <c r="AE109" s="25">
        <f t="shared" si="60"/>
        <v>13.243681724740558</v>
      </c>
      <c r="AF109" s="25">
        <f t="shared" si="52"/>
        <v>13.243681724740558</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290.78918279315889</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127.49804426514967</v>
      </c>
      <c r="AD110" s="29">
        <f t="shared" si="51"/>
        <v>1.0808524183144852</v>
      </c>
      <c r="AE110" s="25">
        <f t="shared" si="60"/>
        <v>13.243681724740558</v>
      </c>
      <c r="AF110" s="25">
        <f t="shared" si="52"/>
        <v>13.243681724740558</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290.78918279315889</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127.49804426514967</v>
      </c>
      <c r="AD111" s="29">
        <f t="shared" si="51"/>
        <v>1.0808524183144852</v>
      </c>
      <c r="AE111" s="25">
        <f t="shared" si="60"/>
        <v>13.243681724740558</v>
      </c>
      <c r="AF111" s="25">
        <f t="shared" si="52"/>
        <v>13.243681724740558</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290.78918279315889</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127.49804426514967</v>
      </c>
      <c r="AD112" s="29">
        <f t="shared" si="51"/>
        <v>1.0808524183144852</v>
      </c>
      <c r="AE112" s="25">
        <f t="shared" si="60"/>
        <v>13.243681724740558</v>
      </c>
      <c r="AF112" s="25">
        <f t="shared" si="52"/>
        <v>13.243681724740558</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290.78918279315889</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127.49804426514967</v>
      </c>
      <c r="AD113" s="29">
        <f t="shared" si="51"/>
        <v>1.0808524183144852</v>
      </c>
      <c r="AE113" s="25">
        <f t="shared" si="60"/>
        <v>13.243681724740558</v>
      </c>
      <c r="AF113" s="25">
        <f t="shared" si="52"/>
        <v>13.243681724740558</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290.78918279315889</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127.49804426514967</v>
      </c>
      <c r="AD114" s="29">
        <f t="shared" si="51"/>
        <v>1.0808524183144852</v>
      </c>
      <c r="AE114" s="25">
        <f t="shared" si="60"/>
        <v>13.243681724740558</v>
      </c>
      <c r="AF114" s="25">
        <f t="shared" si="52"/>
        <v>13.243681724740558</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290.78918279315889</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127.49804426514967</v>
      </c>
      <c r="AD115" s="29">
        <f t="shared" si="51"/>
        <v>1.0808524183144852</v>
      </c>
      <c r="AE115" s="25">
        <f t="shared" si="60"/>
        <v>13.243681724740558</v>
      </c>
      <c r="AF115" s="25">
        <f t="shared" si="52"/>
        <v>13.243681724740558</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290.78918279315889</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127.49804426514967</v>
      </c>
      <c r="AD116" s="29">
        <f t="shared" si="51"/>
        <v>1.0808524183144852</v>
      </c>
      <c r="AE116" s="25">
        <f t="shared" si="60"/>
        <v>13.243681724740558</v>
      </c>
      <c r="AF116" s="25">
        <f t="shared" si="52"/>
        <v>13.243681724740558</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290.78918279315889</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127.49804426514967</v>
      </c>
      <c r="AD117" s="29">
        <f t="shared" si="51"/>
        <v>1.0808524183144852</v>
      </c>
      <c r="AE117" s="25">
        <f t="shared" si="60"/>
        <v>13.243681724740558</v>
      </c>
      <c r="AF117" s="25">
        <f t="shared" si="52"/>
        <v>13.243681724740558</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290.78918279315889</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127.49804426514967</v>
      </c>
      <c r="AD118" s="29">
        <f t="shared" si="51"/>
        <v>1.0808524183144852</v>
      </c>
      <c r="AE118" s="25">
        <f t="shared" si="60"/>
        <v>13.243681724740558</v>
      </c>
      <c r="AF118" s="25">
        <f t="shared" si="52"/>
        <v>13.243681724740558</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290.78918279315889</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127.49804426514967</v>
      </c>
      <c r="AD119" s="29">
        <f t="shared" si="51"/>
        <v>1.0808524183144852</v>
      </c>
      <c r="AE119" s="25">
        <f t="shared" si="60"/>
        <v>13.243681724740558</v>
      </c>
      <c r="AF119" s="25">
        <f t="shared" si="52"/>
        <v>13.243681724740558</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290.78918279315889</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127.49804426514967</v>
      </c>
      <c r="AD120" s="29">
        <f t="shared" si="51"/>
        <v>1.0808524183144852</v>
      </c>
      <c r="AE120" s="25">
        <f t="shared" si="60"/>
        <v>13.243681724740558</v>
      </c>
      <c r="AF120" s="25">
        <f t="shared" si="52"/>
        <v>13.243681724740558</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290.78918279315889</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127.49804426514967</v>
      </c>
      <c r="AD121" s="29">
        <f t="shared" si="51"/>
        <v>1.0808524183144852</v>
      </c>
      <c r="AE121" s="25">
        <f t="shared" si="60"/>
        <v>13.243681724740558</v>
      </c>
      <c r="AF121" s="25">
        <f t="shared" si="52"/>
        <v>13.243681724740558</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290.78918279315889</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127.49804426514967</v>
      </c>
      <c r="AD122" s="29">
        <f t="shared" si="51"/>
        <v>1.0808524183144852</v>
      </c>
      <c r="AE122" s="25">
        <f t="shared" si="60"/>
        <v>13.243681724740558</v>
      </c>
      <c r="AF122" s="25">
        <f t="shared" si="52"/>
        <v>13.243681724740558</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290.78918279315889</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607.4980442651497</v>
      </c>
      <c r="AD123" s="29">
        <f t="shared" si="51"/>
        <v>1.6622911946603092</v>
      </c>
      <c r="AE123" s="25">
        <f t="shared" si="60"/>
        <v>-11.756318275259442</v>
      </c>
      <c r="AF123" s="25">
        <f t="shared" si="52"/>
        <v>-11.756318275259442</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-272.80074649812809</v>
      </c>
      <c r="AH123" s="25">
        <f t="shared" si="70"/>
        <v>11.756318275259442</v>
      </c>
      <c r="AI123" s="25">
        <f t="shared" si="71"/>
        <v>11.756318275259442</v>
      </c>
      <c r="AJ123" s="25">
        <f t="shared" si="72"/>
        <v>11.756318275259442</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607.4980442651497</v>
      </c>
      <c r="AD124" s="29">
        <f t="shared" si="51"/>
        <v>1.6622911946603092</v>
      </c>
      <c r="AE124" s="25">
        <f t="shared" si="60"/>
        <v>13.243681724740558</v>
      </c>
      <c r="AF124" s="25">
        <f t="shared" si="52"/>
        <v>13.243681724740558</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307.31443095547792</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607.4980442651497</v>
      </c>
      <c r="AD125" s="29">
        <f t="shared" si="51"/>
        <v>1.6622911946603092</v>
      </c>
      <c r="AE125" s="25">
        <f t="shared" si="60"/>
        <v>13.243681724740558</v>
      </c>
      <c r="AF125" s="25">
        <f t="shared" si="52"/>
        <v>13.243681724740558</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307.31443095547792</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607.4980442651497</v>
      </c>
      <c r="AD126" s="29">
        <f t="shared" si="51"/>
        <v>1.6622911946603092</v>
      </c>
      <c r="AE126" s="25">
        <f t="shared" si="60"/>
        <v>13.243681724740558</v>
      </c>
      <c r="AF126" s="25">
        <f t="shared" si="52"/>
        <v>13.243681724740558</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307.31443095547792</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607.4980442651497</v>
      </c>
      <c r="AD127" s="29">
        <f t="shared" si="51"/>
        <v>1.6622911946603092</v>
      </c>
      <c r="AE127" s="25">
        <f t="shared" si="60"/>
        <v>13.243681724740558</v>
      </c>
      <c r="AF127" s="25">
        <f t="shared" si="52"/>
        <v>13.243681724740558</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307.31443095547792</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607.4980442651497</v>
      </c>
      <c r="AD128" s="29">
        <f t="shared" si="51"/>
        <v>1.6622911946603092</v>
      </c>
      <c r="AE128" s="25">
        <f t="shared" si="60"/>
        <v>13.243681724740558</v>
      </c>
      <c r="AF128" s="25">
        <f t="shared" si="52"/>
        <v>13.243681724740558</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307.31443095547792</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607.4980442651497</v>
      </c>
      <c r="AD129" s="29">
        <f t="shared" si="51"/>
        <v>1.6622911946603092</v>
      </c>
      <c r="AE129" s="25">
        <f t="shared" si="60"/>
        <v>13.243681724740558</v>
      </c>
      <c r="AF129" s="25">
        <f t="shared" si="52"/>
        <v>13.243681724740558</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307.31443095547792</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607.4980442651497</v>
      </c>
      <c r="AD130" s="29">
        <f t="shared" si="51"/>
        <v>1.6622911946603092</v>
      </c>
      <c r="AE130" s="25">
        <f t="shared" si="60"/>
        <v>13.243681724740558</v>
      </c>
      <c r="AF130" s="25">
        <f t="shared" si="52"/>
        <v>13.243681724740558</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307.31443095547792</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607.4980442651497</v>
      </c>
      <c r="AD131" s="29">
        <f t="shared" ref="AD131:AD194" si="86">IF($A131&lt;0,0,(1+$AC131/(hasterate*100))*(1+$AS$26/100*AND($J131&gt;0,$J131&lt;=$AT$26))*(1+$AS$35/100*AND($M131&gt;0,$M131&lt;=$AT$35))*(1+0.3*($X131&gt;0)))</f>
        <v>1.6622911946603092</v>
      </c>
      <c r="AE131" s="25">
        <f t="shared" si="60"/>
        <v>13.243681724740558</v>
      </c>
      <c r="AF131" s="25">
        <f t="shared" ref="AF131:AF194" si="87">MIN(instcost,AE131)</f>
        <v>13.243681724740558</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307.31443095547792</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607.4980442651497</v>
      </c>
      <c r="AD132" s="29">
        <f t="shared" si="86"/>
        <v>1.6622911946603092</v>
      </c>
      <c r="AE132" s="25">
        <f t="shared" ref="AE132:AE195" si="95">IF($A132&lt;0,0,$AN$45+IF($P132&gt;0,$AN$37*$AL$37,0)+$S132*(60-IF(CharLevel&gt;60,(CharLevel-60)*2,0))*$AL$38+IF($J132=1,$AL$26*-25+IF($AL$39, 30, 0),0)+IF($M132=1,$AL$35*-10,0)+IF(AE131&gt;instcost,AE131-instcost,0))</f>
        <v>13.243681724740558</v>
      </c>
      <c r="AF132" s="25">
        <f t="shared" si="87"/>
        <v>13.243681724740558</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307.31443095547792</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607.4980442651497</v>
      </c>
      <c r="AD133" s="29">
        <f t="shared" si="86"/>
        <v>1.6622911946603092</v>
      </c>
      <c r="AE133" s="25">
        <f t="shared" si="95"/>
        <v>13.243681724740558</v>
      </c>
      <c r="AF133" s="25">
        <f t="shared" si="87"/>
        <v>13.243681724740558</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307.31443095547792</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607.4980442651497</v>
      </c>
      <c r="AD134" s="29">
        <f t="shared" si="86"/>
        <v>1.6622911946603092</v>
      </c>
      <c r="AE134" s="25">
        <f t="shared" si="95"/>
        <v>13.243681724740558</v>
      </c>
      <c r="AF134" s="25">
        <f t="shared" si="87"/>
        <v>13.243681724740558</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307.31443095547792</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607.4980442651497</v>
      </c>
      <c r="AD135" s="29">
        <f t="shared" si="86"/>
        <v>1.6622911946603092</v>
      </c>
      <c r="AE135" s="25">
        <f t="shared" si="95"/>
        <v>13.243681724740558</v>
      </c>
      <c r="AF135" s="25">
        <f t="shared" si="87"/>
        <v>13.243681724740558</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307.31443095547792</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607.4980442651497</v>
      </c>
      <c r="AD136" s="29">
        <f t="shared" si="86"/>
        <v>1.6622911946603092</v>
      </c>
      <c r="AE136" s="25">
        <f t="shared" si="95"/>
        <v>13.243681724740558</v>
      </c>
      <c r="AF136" s="25">
        <f t="shared" si="87"/>
        <v>13.243681724740558</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307.31443095547792</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607.4980442651497</v>
      </c>
      <c r="AD137" s="29">
        <f t="shared" si="86"/>
        <v>1.6622911946603092</v>
      </c>
      <c r="AE137" s="25">
        <f t="shared" si="95"/>
        <v>13.243681724740558</v>
      </c>
      <c r="AF137" s="25">
        <f t="shared" si="87"/>
        <v>13.243681724740558</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307.31443095547792</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207.49804426514967</v>
      </c>
      <c r="AD138" s="29">
        <f t="shared" si="86"/>
        <v>1.1315841256315584</v>
      </c>
      <c r="AE138" s="25">
        <f t="shared" si="95"/>
        <v>13.243681724740558</v>
      </c>
      <c r="AF138" s="25">
        <f t="shared" si="87"/>
        <v>13.243681724740558</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307.31443095547792</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207.49804426514967</v>
      </c>
      <c r="AD139" s="29">
        <f t="shared" si="86"/>
        <v>1.1315841256315584</v>
      </c>
      <c r="AE139" s="25">
        <f t="shared" si="95"/>
        <v>13.243681724740558</v>
      </c>
      <c r="AF139" s="25">
        <f t="shared" si="87"/>
        <v>13.243681724740558</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307.31443095547792</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207.49804426514967</v>
      </c>
      <c r="AD140" s="29">
        <f t="shared" si="86"/>
        <v>1.1315841256315584</v>
      </c>
      <c r="AE140" s="25">
        <f t="shared" si="95"/>
        <v>13.243681724740558</v>
      </c>
      <c r="AF140" s="25">
        <f t="shared" si="87"/>
        <v>13.243681724740558</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307.31443095547792</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207.49804426514967</v>
      </c>
      <c r="AD141" s="29">
        <f t="shared" si="86"/>
        <v>1.1315841256315584</v>
      </c>
      <c r="AE141" s="25">
        <f t="shared" si="95"/>
        <v>13.243681724740558</v>
      </c>
      <c r="AF141" s="25">
        <f t="shared" si="87"/>
        <v>13.243681724740558</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307.31443095547792</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207.49804426514967</v>
      </c>
      <c r="AD142" s="29">
        <f t="shared" si="86"/>
        <v>1.1315841256315584</v>
      </c>
      <c r="AE142" s="25">
        <f t="shared" si="95"/>
        <v>13.243681724740558</v>
      </c>
      <c r="AF142" s="25">
        <f t="shared" si="87"/>
        <v>13.243681724740558</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307.31443095547792</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207.49804426514967</v>
      </c>
      <c r="AD143" s="29">
        <f t="shared" si="86"/>
        <v>1.1315841256315584</v>
      </c>
      <c r="AE143" s="25">
        <f t="shared" si="95"/>
        <v>13.243681724740558</v>
      </c>
      <c r="AF143" s="25">
        <f t="shared" si="87"/>
        <v>13.243681724740558</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290.78918279315889</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207.49804426514967</v>
      </c>
      <c r="AD144" s="29">
        <f t="shared" si="86"/>
        <v>1.1315841256315584</v>
      </c>
      <c r="AE144" s="25">
        <f t="shared" si="95"/>
        <v>13.243681724740558</v>
      </c>
      <c r="AF144" s="25">
        <f t="shared" si="87"/>
        <v>13.243681724740558</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290.78918279315889</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207.49804426514967</v>
      </c>
      <c r="AD145" s="29">
        <f t="shared" si="86"/>
        <v>1.1315841256315584</v>
      </c>
      <c r="AE145" s="25">
        <f t="shared" si="95"/>
        <v>13.243681724740558</v>
      </c>
      <c r="AF145" s="25">
        <f t="shared" si="87"/>
        <v>13.243681724740558</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290.78918279315889</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207.49804426514967</v>
      </c>
      <c r="AD146" s="29">
        <f t="shared" si="86"/>
        <v>1.1315841256315584</v>
      </c>
      <c r="AE146" s="25">
        <f t="shared" si="95"/>
        <v>13.243681724740558</v>
      </c>
      <c r="AF146" s="25">
        <f t="shared" si="87"/>
        <v>13.243681724740558</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290.78918279315889</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207.49804426514967</v>
      </c>
      <c r="AD147" s="29">
        <f t="shared" si="86"/>
        <v>1.1315841256315584</v>
      </c>
      <c r="AE147" s="25">
        <f t="shared" si="95"/>
        <v>13.243681724740558</v>
      </c>
      <c r="AF147" s="25">
        <f t="shared" si="87"/>
        <v>13.243681724740558</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290.78918279315889</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207.49804426514967</v>
      </c>
      <c r="AD148" s="29">
        <f t="shared" si="86"/>
        <v>1.1315841256315584</v>
      </c>
      <c r="AE148" s="25">
        <f t="shared" si="95"/>
        <v>13.243681724740558</v>
      </c>
      <c r="AF148" s="25">
        <f t="shared" si="87"/>
        <v>13.243681724740558</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290.78918279315889</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207.49804426514967</v>
      </c>
      <c r="AD149" s="29">
        <f t="shared" si="86"/>
        <v>1.1315841256315584</v>
      </c>
      <c r="AE149" s="25">
        <f t="shared" si="95"/>
        <v>13.243681724740558</v>
      </c>
      <c r="AF149" s="25">
        <f t="shared" si="87"/>
        <v>13.243681724740558</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290.78918279315889</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207.49804426514967</v>
      </c>
      <c r="AD150" s="29">
        <f t="shared" si="86"/>
        <v>1.1315841256315584</v>
      </c>
      <c r="AE150" s="25">
        <f t="shared" si="95"/>
        <v>13.243681724740558</v>
      </c>
      <c r="AF150" s="25">
        <f t="shared" si="87"/>
        <v>13.243681724740558</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290.78918279315889</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207.49804426514967</v>
      </c>
      <c r="AD151" s="29">
        <f t="shared" si="86"/>
        <v>1.1315841256315584</v>
      </c>
      <c r="AE151" s="25">
        <f t="shared" si="95"/>
        <v>13.243681724740558</v>
      </c>
      <c r="AF151" s="25">
        <f t="shared" si="87"/>
        <v>13.243681724740558</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290.78918279315889</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207.49804426514967</v>
      </c>
      <c r="AD152" s="29">
        <f t="shared" si="86"/>
        <v>1.1315841256315584</v>
      </c>
      <c r="AE152" s="25">
        <f t="shared" si="95"/>
        <v>13.243681724740558</v>
      </c>
      <c r="AF152" s="25">
        <f t="shared" si="87"/>
        <v>13.243681724740558</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290.78918279315889</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127.49804426514967</v>
      </c>
      <c r="AD153" s="29">
        <f t="shared" si="86"/>
        <v>1.0808524183144852</v>
      </c>
      <c r="AE153" s="25">
        <f t="shared" si="95"/>
        <v>13.243681724740558</v>
      </c>
      <c r="AF153" s="25">
        <f t="shared" si="87"/>
        <v>13.243681724740558</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290.78918279315889</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127.49804426514967</v>
      </c>
      <c r="AD154" s="29">
        <f t="shared" si="86"/>
        <v>1.0808524183144852</v>
      </c>
      <c r="AE154" s="25">
        <f t="shared" si="95"/>
        <v>13.243681724740558</v>
      </c>
      <c r="AF154" s="25">
        <f t="shared" si="87"/>
        <v>13.243681724740558</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290.78918279315889</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127.49804426514967</v>
      </c>
      <c r="AD155" s="29">
        <f t="shared" si="86"/>
        <v>1.0808524183144852</v>
      </c>
      <c r="AE155" s="25">
        <f t="shared" si="95"/>
        <v>13.243681724740558</v>
      </c>
      <c r="AF155" s="25">
        <f t="shared" si="87"/>
        <v>13.243681724740558</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290.78918279315889</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127.49804426514967</v>
      </c>
      <c r="AD156" s="29">
        <f t="shared" si="86"/>
        <v>1.0808524183144852</v>
      </c>
      <c r="AE156" s="25">
        <f t="shared" si="95"/>
        <v>13.243681724740558</v>
      </c>
      <c r="AF156" s="25">
        <f t="shared" si="87"/>
        <v>13.243681724740558</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290.78918279315889</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127.49804426514967</v>
      </c>
      <c r="AD157" s="29">
        <f t="shared" si="86"/>
        <v>1.0808524183144852</v>
      </c>
      <c r="AE157" s="25">
        <f t="shared" si="95"/>
        <v>13.243681724740558</v>
      </c>
      <c r="AF157" s="25">
        <f t="shared" si="87"/>
        <v>13.243681724740558</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290.78918279315889</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127.49804426514967</v>
      </c>
      <c r="AD158" s="29">
        <f t="shared" si="86"/>
        <v>1.0808524183144852</v>
      </c>
      <c r="AE158" s="25">
        <f t="shared" si="95"/>
        <v>13.243681724740558</v>
      </c>
      <c r="AF158" s="25">
        <f t="shared" si="87"/>
        <v>13.243681724740558</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290.78918279315889</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127.49804426514967</v>
      </c>
      <c r="AD159" s="29">
        <f t="shared" si="86"/>
        <v>1.0808524183144852</v>
      </c>
      <c r="AE159" s="25">
        <f t="shared" si="95"/>
        <v>13.243681724740558</v>
      </c>
      <c r="AF159" s="25">
        <f t="shared" si="87"/>
        <v>13.243681724740558</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290.78918279315889</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127.49804426514967</v>
      </c>
      <c r="AD160" s="29">
        <f t="shared" si="86"/>
        <v>1.0808524183144852</v>
      </c>
      <c r="AE160" s="25">
        <f t="shared" si="95"/>
        <v>13.243681724740558</v>
      </c>
      <c r="AF160" s="25">
        <f t="shared" si="87"/>
        <v>13.243681724740558</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290.78918279315889</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127.49804426514967</v>
      </c>
      <c r="AD161" s="29">
        <f t="shared" si="86"/>
        <v>1.0808524183144852</v>
      </c>
      <c r="AE161" s="25">
        <f t="shared" si="95"/>
        <v>13.243681724740558</v>
      </c>
      <c r="AF161" s="25">
        <f t="shared" si="87"/>
        <v>13.243681724740558</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290.78918279315889</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127.49804426514967</v>
      </c>
      <c r="AD162" s="29">
        <f t="shared" si="86"/>
        <v>1.0808524183144852</v>
      </c>
      <c r="AE162" s="25">
        <f t="shared" si="95"/>
        <v>13.243681724740558</v>
      </c>
      <c r="AF162" s="25">
        <f t="shared" si="87"/>
        <v>13.243681724740558</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290.78918279315889</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127.49804426514967</v>
      </c>
      <c r="AD163" s="29">
        <f t="shared" si="86"/>
        <v>1.0808524183144852</v>
      </c>
      <c r="AE163" s="25">
        <f t="shared" si="95"/>
        <v>13.243681724740558</v>
      </c>
      <c r="AF163" s="25">
        <f t="shared" si="87"/>
        <v>13.243681724740558</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290.78918279315889</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127.49804426514967</v>
      </c>
      <c r="AD164" s="29">
        <f t="shared" si="86"/>
        <v>1.0808524183144852</v>
      </c>
      <c r="AE164" s="25">
        <f t="shared" si="95"/>
        <v>13.243681724740558</v>
      </c>
      <c r="AF164" s="25">
        <f t="shared" si="87"/>
        <v>13.243681724740558</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290.78918279315889</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127.49804426514967</v>
      </c>
      <c r="AD165" s="29">
        <f t="shared" si="86"/>
        <v>1.0808524183144852</v>
      </c>
      <c r="AE165" s="25">
        <f t="shared" si="95"/>
        <v>13.243681724740558</v>
      </c>
      <c r="AF165" s="25">
        <f t="shared" si="87"/>
        <v>13.243681724740558</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290.78918279315889</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127.49804426514967</v>
      </c>
      <c r="AD166" s="29">
        <f t="shared" si="86"/>
        <v>1.0808524183144852</v>
      </c>
      <c r="AE166" s="25">
        <f t="shared" si="95"/>
        <v>13.243681724740558</v>
      </c>
      <c r="AF166" s="25">
        <f t="shared" si="87"/>
        <v>13.243681724740558</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290.78918279315889</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127.49804426514967</v>
      </c>
      <c r="AD167" s="29">
        <f t="shared" si="86"/>
        <v>1.0808524183144852</v>
      </c>
      <c r="AE167" s="25">
        <f t="shared" si="95"/>
        <v>13.243681724740558</v>
      </c>
      <c r="AF167" s="25">
        <f t="shared" si="87"/>
        <v>13.243681724740558</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290.78918279315889</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127.49804426514967</v>
      </c>
      <c r="AD168" s="29">
        <f t="shared" si="86"/>
        <v>1.0808524183144852</v>
      </c>
      <c r="AE168" s="25">
        <f t="shared" si="95"/>
        <v>13.243681724740558</v>
      </c>
      <c r="AF168" s="25">
        <f t="shared" si="87"/>
        <v>13.243681724740558</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290.78918279315889</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127.49804426514967</v>
      </c>
      <c r="AD169" s="29">
        <f t="shared" si="86"/>
        <v>1.0808524183144852</v>
      </c>
      <c r="AE169" s="25">
        <f t="shared" si="95"/>
        <v>13.243681724740558</v>
      </c>
      <c r="AF169" s="25">
        <f t="shared" si="87"/>
        <v>13.243681724740558</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290.78918279315889</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127.49804426514967</v>
      </c>
      <c r="AD170" s="29">
        <f t="shared" si="86"/>
        <v>1.0808524183144852</v>
      </c>
      <c r="AE170" s="25">
        <f t="shared" si="95"/>
        <v>13.243681724740558</v>
      </c>
      <c r="AF170" s="25">
        <f t="shared" si="87"/>
        <v>13.243681724740558</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290.78918279315889</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127.49804426514967</v>
      </c>
      <c r="AD171" s="29">
        <f t="shared" si="86"/>
        <v>1.0808524183144852</v>
      </c>
      <c r="AE171" s="25">
        <f t="shared" si="95"/>
        <v>13.243681724740558</v>
      </c>
      <c r="AF171" s="25">
        <f t="shared" si="87"/>
        <v>13.243681724740558</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290.78918279315889</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127.49804426514967</v>
      </c>
      <c r="AD172" s="29">
        <f t="shared" si="86"/>
        <v>1.0808524183144852</v>
      </c>
      <c r="AE172" s="25">
        <f t="shared" si="95"/>
        <v>13.243681724740558</v>
      </c>
      <c r="AF172" s="25">
        <f t="shared" si="87"/>
        <v>13.243681724740558</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290.78918279315889</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127.49804426514967</v>
      </c>
      <c r="AD173" s="29">
        <f t="shared" si="86"/>
        <v>1.0808524183144852</v>
      </c>
      <c r="AE173" s="25">
        <f t="shared" si="95"/>
        <v>13.243681724740558</v>
      </c>
      <c r="AF173" s="25">
        <f t="shared" si="87"/>
        <v>13.243681724740558</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290.78918279315889</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127.49804426514967</v>
      </c>
      <c r="AD174" s="29">
        <f t="shared" si="86"/>
        <v>1.0808524183144852</v>
      </c>
      <c r="AE174" s="25">
        <f t="shared" si="95"/>
        <v>13.243681724740558</v>
      </c>
      <c r="AF174" s="25">
        <f t="shared" si="87"/>
        <v>13.243681724740558</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290.78918279315889</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127.49804426514967</v>
      </c>
      <c r="AD175" s="29">
        <f t="shared" si="86"/>
        <v>1.0808524183144852</v>
      </c>
      <c r="AE175" s="25">
        <f t="shared" si="95"/>
        <v>13.243681724740558</v>
      </c>
      <c r="AF175" s="25">
        <f t="shared" si="87"/>
        <v>13.243681724740558</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290.78918279315889</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127.49804426514967</v>
      </c>
      <c r="AD176" s="29">
        <f t="shared" si="86"/>
        <v>1.0808524183144852</v>
      </c>
      <c r="AE176" s="25">
        <f t="shared" si="95"/>
        <v>13.243681724740558</v>
      </c>
      <c r="AF176" s="25">
        <f t="shared" si="87"/>
        <v>13.243681724740558</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290.78918279315889</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127.49804426514967</v>
      </c>
      <c r="AD177" s="29">
        <f t="shared" si="86"/>
        <v>1.0808524183144852</v>
      </c>
      <c r="AE177" s="25">
        <f t="shared" si="95"/>
        <v>13.243681724740558</v>
      </c>
      <c r="AF177" s="25">
        <f t="shared" si="87"/>
        <v>13.243681724740558</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290.78918279315889</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127.49804426514967</v>
      </c>
      <c r="AD178" s="29">
        <f t="shared" si="86"/>
        <v>1.0808524183144852</v>
      </c>
      <c r="AE178" s="25">
        <f t="shared" si="95"/>
        <v>13.243681724740558</v>
      </c>
      <c r="AF178" s="25">
        <f t="shared" si="87"/>
        <v>13.243681724740558</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290.78918279315889</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127.49804426514967</v>
      </c>
      <c r="AD179" s="29">
        <f t="shared" si="86"/>
        <v>1.0808524183144852</v>
      </c>
      <c r="AE179" s="25">
        <f t="shared" si="95"/>
        <v>13.243681724740558</v>
      </c>
      <c r="AF179" s="25">
        <f t="shared" si="87"/>
        <v>13.243681724740558</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290.78918279315889</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127.49804426514967</v>
      </c>
      <c r="AD180" s="29">
        <f t="shared" si="86"/>
        <v>1.0808524183144852</v>
      </c>
      <c r="AE180" s="25">
        <f t="shared" si="95"/>
        <v>13.243681724740558</v>
      </c>
      <c r="AF180" s="25">
        <f t="shared" si="87"/>
        <v>13.243681724740558</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290.78918279315889</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127.49804426514967</v>
      </c>
      <c r="AD181" s="29">
        <f t="shared" si="86"/>
        <v>1.0808524183144852</v>
      </c>
      <c r="AE181" s="25">
        <f t="shared" si="95"/>
        <v>13.243681724740558</v>
      </c>
      <c r="AF181" s="25">
        <f t="shared" si="87"/>
        <v>13.243681724740558</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290.78918279315889</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127.49804426514967</v>
      </c>
      <c r="AD182" s="29">
        <f t="shared" si="86"/>
        <v>1.0808524183144852</v>
      </c>
      <c r="AE182" s="25">
        <f t="shared" si="95"/>
        <v>13.243681724740558</v>
      </c>
      <c r="AF182" s="25">
        <f t="shared" si="87"/>
        <v>13.243681724740558</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290.78918279315889</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127.49804426514967</v>
      </c>
      <c r="AD183" s="29">
        <f t="shared" si="86"/>
        <v>1.0808524183144852</v>
      </c>
      <c r="AE183" s="25">
        <f t="shared" si="95"/>
        <v>13.243681724740558</v>
      </c>
      <c r="AF183" s="25">
        <f t="shared" si="87"/>
        <v>13.243681724740558</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290.78918279315889</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127.49804426514967</v>
      </c>
      <c r="AD184" s="29">
        <f t="shared" si="86"/>
        <v>1.0808524183144852</v>
      </c>
      <c r="AE184" s="25">
        <f t="shared" si="95"/>
        <v>13.243681724740558</v>
      </c>
      <c r="AF184" s="25">
        <f t="shared" si="87"/>
        <v>13.243681724740558</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290.78918279315889</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127.49804426514967</v>
      </c>
      <c r="AD185" s="29">
        <f t="shared" si="86"/>
        <v>1.0808524183144852</v>
      </c>
      <c r="AE185" s="25">
        <f t="shared" si="95"/>
        <v>13.243681724740558</v>
      </c>
      <c r="AF185" s="25">
        <f t="shared" si="87"/>
        <v>13.243681724740558</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290.78918279315889</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127.49804426514967</v>
      </c>
      <c r="AD186" s="29">
        <f t="shared" si="86"/>
        <v>1.0808524183144852</v>
      </c>
      <c r="AE186" s="25">
        <f t="shared" si="95"/>
        <v>13.243681724740558</v>
      </c>
      <c r="AF186" s="25">
        <f t="shared" si="87"/>
        <v>13.243681724740558</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290.78918279315889</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127.49804426514967</v>
      </c>
      <c r="AD187" s="29">
        <f t="shared" si="86"/>
        <v>1.0808524183144852</v>
      </c>
      <c r="AE187" s="25">
        <f t="shared" si="95"/>
        <v>13.243681724740558</v>
      </c>
      <c r="AF187" s="25">
        <f t="shared" si="87"/>
        <v>13.243681724740558</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290.78918279315889</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127.49804426514967</v>
      </c>
      <c r="AD188" s="29">
        <f t="shared" si="86"/>
        <v>1.0808524183144852</v>
      </c>
      <c r="AE188" s="25">
        <f t="shared" si="95"/>
        <v>13.243681724740558</v>
      </c>
      <c r="AF188" s="25">
        <f t="shared" si="87"/>
        <v>13.243681724740558</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290.78918279315889</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127.49804426514967</v>
      </c>
      <c r="AD189" s="29">
        <f t="shared" si="86"/>
        <v>1.0808524183144852</v>
      </c>
      <c r="AE189" s="25">
        <f t="shared" si="95"/>
        <v>13.243681724740558</v>
      </c>
      <c r="AF189" s="25">
        <f t="shared" si="87"/>
        <v>13.243681724740558</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290.78918279315889</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127.49804426514967</v>
      </c>
      <c r="AD190" s="29">
        <f t="shared" si="86"/>
        <v>1.0808524183144852</v>
      </c>
      <c r="AE190" s="25">
        <f t="shared" si="95"/>
        <v>13.243681724740558</v>
      </c>
      <c r="AF190" s="25">
        <f t="shared" si="87"/>
        <v>13.243681724740558</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290.78918279315889</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127.49804426514967</v>
      </c>
      <c r="AD191" s="29">
        <f t="shared" si="86"/>
        <v>1.0808524183144852</v>
      </c>
      <c r="AE191" s="25">
        <f t="shared" si="95"/>
        <v>13.243681724740558</v>
      </c>
      <c r="AF191" s="25">
        <f t="shared" si="87"/>
        <v>13.243681724740558</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290.78918279315889</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127.49804426514967</v>
      </c>
      <c r="AD192" s="29">
        <f t="shared" si="86"/>
        <v>1.0808524183144852</v>
      </c>
      <c r="AE192" s="25">
        <f t="shared" si="95"/>
        <v>13.243681724740558</v>
      </c>
      <c r="AF192" s="25">
        <f t="shared" si="87"/>
        <v>13.243681724740558</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290.78918279315889</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127.49804426514967</v>
      </c>
      <c r="AD193" s="29">
        <f t="shared" si="86"/>
        <v>1.0808524183144852</v>
      </c>
      <c r="AE193" s="25">
        <f t="shared" si="95"/>
        <v>13.243681724740558</v>
      </c>
      <c r="AF193" s="25">
        <f t="shared" si="87"/>
        <v>13.243681724740558</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290.78918279315889</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127.49804426514967</v>
      </c>
      <c r="AD194" s="29">
        <f t="shared" si="86"/>
        <v>1.0808524183144852</v>
      </c>
      <c r="AE194" s="25">
        <f t="shared" si="95"/>
        <v>13.243681724740558</v>
      </c>
      <c r="AF194" s="25">
        <f t="shared" si="87"/>
        <v>13.243681724740558</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290.78918279315889</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127.49804426514967</v>
      </c>
      <c r="AD195" s="29">
        <f t="shared" ref="AD195:AD258" si="121">IF($A195&lt;0,0,(1+$AC195/(hasterate*100))*(1+$AS$26/100*AND($J195&gt;0,$J195&lt;=$AT$26))*(1+$AS$35/100*AND($M195&gt;0,$M195&lt;=$AT$35))*(1+0.3*($X195&gt;0)))</f>
        <v>1.0808524183144852</v>
      </c>
      <c r="AE195" s="25">
        <f t="shared" si="95"/>
        <v>13.243681724740558</v>
      </c>
      <c r="AF195" s="25">
        <f t="shared" ref="AF195:AF258" si="122">MIN(instcost,AE195)</f>
        <v>13.243681724740558</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290.78918279315889</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127.49804426514967</v>
      </c>
      <c r="AD196" s="29">
        <f t="shared" si="121"/>
        <v>1.0808524183144852</v>
      </c>
      <c r="AE196" s="25">
        <f t="shared" ref="AE196:AE259" si="130">IF($A196&lt;0,0,$AN$45+IF($P196&gt;0,$AN$37*$AL$37,0)+$S196*(60-IF(CharLevel&gt;60,(CharLevel-60)*2,0))*$AL$38+IF($J196=1,$AL$26*-25+IF($AL$39, 30, 0),0)+IF($M196=1,$AL$35*-10,0)+IF(AE195&gt;instcost,AE195-instcost,0))</f>
        <v>13.243681724740558</v>
      </c>
      <c r="AF196" s="25">
        <f t="shared" si="122"/>
        <v>13.243681724740558</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290.78918279315889</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127.49804426514967</v>
      </c>
      <c r="AD197" s="29">
        <f t="shared" si="121"/>
        <v>1.0808524183144852</v>
      </c>
      <c r="AE197" s="25">
        <f t="shared" si="130"/>
        <v>13.243681724740558</v>
      </c>
      <c r="AF197" s="25">
        <f t="shared" si="122"/>
        <v>13.243681724740558</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290.78918279315889</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127.49804426514967</v>
      </c>
      <c r="AD198" s="29">
        <f t="shared" si="121"/>
        <v>1.0808524183144852</v>
      </c>
      <c r="AE198" s="25">
        <f t="shared" si="130"/>
        <v>13.243681724740558</v>
      </c>
      <c r="AF198" s="25">
        <f t="shared" si="122"/>
        <v>13.243681724740558</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290.78918279315889</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127.49804426514967</v>
      </c>
      <c r="AD199" s="29">
        <f t="shared" si="121"/>
        <v>1.0808524183144852</v>
      </c>
      <c r="AE199" s="25">
        <f t="shared" si="130"/>
        <v>13.243681724740558</v>
      </c>
      <c r="AF199" s="25">
        <f t="shared" si="122"/>
        <v>13.243681724740558</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290.78918279315889</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127.49804426514967</v>
      </c>
      <c r="AD200" s="29">
        <f t="shared" si="121"/>
        <v>1.0808524183144852</v>
      </c>
      <c r="AE200" s="25">
        <f t="shared" si="130"/>
        <v>13.243681724740558</v>
      </c>
      <c r="AF200" s="25">
        <f t="shared" si="122"/>
        <v>13.243681724740558</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290.78918279315889</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127.49804426514967</v>
      </c>
      <c r="AD201" s="29">
        <f t="shared" si="121"/>
        <v>1.0808524183144852</v>
      </c>
      <c r="AE201" s="25">
        <f t="shared" si="130"/>
        <v>13.243681724740558</v>
      </c>
      <c r="AF201" s="25">
        <f t="shared" si="122"/>
        <v>13.243681724740558</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290.78918279315889</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127.49804426514967</v>
      </c>
      <c r="AD202" s="29">
        <f t="shared" si="121"/>
        <v>1.0808524183144852</v>
      </c>
      <c r="AE202" s="25">
        <f t="shared" si="130"/>
        <v>13.243681724740558</v>
      </c>
      <c r="AF202" s="25">
        <f t="shared" si="122"/>
        <v>13.243681724740558</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290.78918279315889</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127.49804426514967</v>
      </c>
      <c r="AD203" s="29">
        <f t="shared" si="121"/>
        <v>1.0808524183144852</v>
      </c>
      <c r="AE203" s="25">
        <f t="shared" si="130"/>
        <v>13.243681724740558</v>
      </c>
      <c r="AF203" s="25">
        <f t="shared" si="122"/>
        <v>13.243681724740558</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290.78918279315889</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127.49804426514967</v>
      </c>
      <c r="AD204" s="29">
        <f t="shared" si="121"/>
        <v>1.0808524183144852</v>
      </c>
      <c r="AE204" s="25">
        <f t="shared" si="130"/>
        <v>13.243681724740558</v>
      </c>
      <c r="AF204" s="25">
        <f t="shared" si="122"/>
        <v>13.243681724740558</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290.78918279315889</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127.49804426514967</v>
      </c>
      <c r="AD205" s="29">
        <f t="shared" si="121"/>
        <v>1.0808524183144852</v>
      </c>
      <c r="AE205" s="25">
        <f t="shared" si="130"/>
        <v>13.243681724740558</v>
      </c>
      <c r="AF205" s="25">
        <f t="shared" si="122"/>
        <v>13.243681724740558</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290.78918279315889</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127.49804426514967</v>
      </c>
      <c r="AD206" s="29">
        <f t="shared" si="121"/>
        <v>1.0808524183144852</v>
      </c>
      <c r="AE206" s="25">
        <f t="shared" si="130"/>
        <v>13.243681724740558</v>
      </c>
      <c r="AF206" s="25">
        <f t="shared" si="122"/>
        <v>13.243681724740558</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290.78918279315889</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127.49804426514967</v>
      </c>
      <c r="AD207" s="29">
        <f t="shared" si="121"/>
        <v>1.0808524183144852</v>
      </c>
      <c r="AE207" s="25">
        <f t="shared" si="130"/>
        <v>13.243681724740558</v>
      </c>
      <c r="AF207" s="25">
        <f t="shared" si="122"/>
        <v>13.243681724740558</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290.78918279315889</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127.49804426514967</v>
      </c>
      <c r="AD208" s="29">
        <f t="shared" si="121"/>
        <v>1.0808524183144852</v>
      </c>
      <c r="AE208" s="25">
        <f t="shared" si="130"/>
        <v>13.243681724740558</v>
      </c>
      <c r="AF208" s="25">
        <f t="shared" si="122"/>
        <v>13.243681724740558</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290.78918279315889</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127.49804426514967</v>
      </c>
      <c r="AD209" s="29">
        <f t="shared" si="121"/>
        <v>1.0808524183144852</v>
      </c>
      <c r="AE209" s="25">
        <f t="shared" si="130"/>
        <v>13.243681724740558</v>
      </c>
      <c r="AF209" s="25">
        <f t="shared" si="122"/>
        <v>13.243681724740558</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290.78918279315889</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127.49804426514967</v>
      </c>
      <c r="AD210" s="29">
        <f t="shared" si="121"/>
        <v>1.0808524183144852</v>
      </c>
      <c r="AE210" s="25">
        <f t="shared" si="130"/>
        <v>13.243681724740558</v>
      </c>
      <c r="AF210" s="25">
        <f t="shared" si="122"/>
        <v>13.243681724740558</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290.78918279315889</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127.49804426514967</v>
      </c>
      <c r="AD211" s="29">
        <f t="shared" si="121"/>
        <v>1.0808524183144852</v>
      </c>
      <c r="AE211" s="25">
        <f t="shared" si="130"/>
        <v>13.243681724740558</v>
      </c>
      <c r="AF211" s="25">
        <f t="shared" si="122"/>
        <v>13.243681724740558</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290.78918279315889</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127.49804426514967</v>
      </c>
      <c r="AD212" s="29">
        <f t="shared" si="121"/>
        <v>1.0808524183144852</v>
      </c>
      <c r="AE212" s="25">
        <f t="shared" si="130"/>
        <v>13.243681724740558</v>
      </c>
      <c r="AF212" s="25">
        <f t="shared" si="122"/>
        <v>13.243681724740558</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290.78918279315889</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127.49804426514967</v>
      </c>
      <c r="AD213" s="29">
        <f t="shared" si="121"/>
        <v>1.0808524183144852</v>
      </c>
      <c r="AE213" s="25">
        <f t="shared" si="130"/>
        <v>13.243681724740558</v>
      </c>
      <c r="AF213" s="25">
        <f t="shared" si="122"/>
        <v>13.243681724740558</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290.78918279315889</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127.49804426514967</v>
      </c>
      <c r="AD214" s="29">
        <f t="shared" si="121"/>
        <v>1.0808524183144852</v>
      </c>
      <c r="AE214" s="25">
        <f t="shared" si="130"/>
        <v>13.243681724740558</v>
      </c>
      <c r="AF214" s="25">
        <f t="shared" si="122"/>
        <v>13.243681724740558</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290.78918279315889</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127.49804426514967</v>
      </c>
      <c r="AD215" s="29">
        <f t="shared" si="121"/>
        <v>1.0808524183144852</v>
      </c>
      <c r="AE215" s="25">
        <f t="shared" si="130"/>
        <v>13.243681724740558</v>
      </c>
      <c r="AF215" s="25">
        <f t="shared" si="122"/>
        <v>13.243681724740558</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290.78918279315889</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127.49804426514967</v>
      </c>
      <c r="AD216" s="29">
        <f t="shared" si="121"/>
        <v>1.0808524183144852</v>
      </c>
      <c r="AE216" s="25">
        <f t="shared" si="130"/>
        <v>13.243681724740558</v>
      </c>
      <c r="AF216" s="25">
        <f t="shared" si="122"/>
        <v>13.243681724740558</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290.78918279315889</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127.49804426514967</v>
      </c>
      <c r="AD217" s="29">
        <f t="shared" si="121"/>
        <v>1.0808524183144852</v>
      </c>
      <c r="AE217" s="25">
        <f t="shared" si="130"/>
        <v>13.243681724740558</v>
      </c>
      <c r="AF217" s="25">
        <f t="shared" si="122"/>
        <v>13.243681724740558</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290.78918279315889</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127.49804426514967</v>
      </c>
      <c r="AD218" s="29">
        <f t="shared" si="121"/>
        <v>1.0808524183144852</v>
      </c>
      <c r="AE218" s="25">
        <f t="shared" si="130"/>
        <v>13.243681724740558</v>
      </c>
      <c r="AF218" s="25">
        <f t="shared" si="122"/>
        <v>13.243681724740558</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290.78918279315889</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127.49804426514967</v>
      </c>
      <c r="AD219" s="29">
        <f t="shared" si="121"/>
        <v>1.0808524183144852</v>
      </c>
      <c r="AE219" s="25">
        <f t="shared" si="130"/>
        <v>13.243681724740558</v>
      </c>
      <c r="AF219" s="25">
        <f t="shared" si="122"/>
        <v>13.243681724740558</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290.78918279315889</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127.49804426514967</v>
      </c>
      <c r="AD220" s="29">
        <f t="shared" si="121"/>
        <v>1.0808524183144852</v>
      </c>
      <c r="AE220" s="25">
        <f t="shared" si="130"/>
        <v>13.243681724740558</v>
      </c>
      <c r="AF220" s="25">
        <f t="shared" si="122"/>
        <v>13.243681724740558</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290.78918279315889</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127.49804426514967</v>
      </c>
      <c r="AD221" s="29">
        <f t="shared" si="121"/>
        <v>1.0808524183144852</v>
      </c>
      <c r="AE221" s="25">
        <f t="shared" si="130"/>
        <v>13.243681724740558</v>
      </c>
      <c r="AF221" s="25">
        <f t="shared" si="122"/>
        <v>13.243681724740558</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290.78918279315889</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127.49804426514967</v>
      </c>
      <c r="AD222" s="29">
        <f t="shared" si="121"/>
        <v>1.0808524183144852</v>
      </c>
      <c r="AE222" s="25">
        <f t="shared" si="130"/>
        <v>13.243681724740558</v>
      </c>
      <c r="AF222" s="25">
        <f t="shared" si="122"/>
        <v>13.243681724740558</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290.78918279315889</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127.49804426514967</v>
      </c>
      <c r="AD223" s="29">
        <f t="shared" si="121"/>
        <v>1.0808524183144852</v>
      </c>
      <c r="AE223" s="25">
        <f t="shared" si="130"/>
        <v>13.243681724740558</v>
      </c>
      <c r="AF223" s="25">
        <f t="shared" si="122"/>
        <v>13.243681724740558</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290.78918279315889</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127.49804426514967</v>
      </c>
      <c r="AD224" s="29">
        <f t="shared" si="121"/>
        <v>1.0808524183144852</v>
      </c>
      <c r="AE224" s="25">
        <f t="shared" si="130"/>
        <v>13.243681724740558</v>
      </c>
      <c r="AF224" s="25">
        <f t="shared" si="122"/>
        <v>13.243681724740558</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290.78918279315889</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127.49804426514967</v>
      </c>
      <c r="AD225" s="29">
        <f t="shared" si="121"/>
        <v>1.0808524183144852</v>
      </c>
      <c r="AE225" s="25">
        <f t="shared" si="130"/>
        <v>13.243681724740558</v>
      </c>
      <c r="AF225" s="25">
        <f t="shared" si="122"/>
        <v>13.243681724740558</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290.78918279315889</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127.49804426514967</v>
      </c>
      <c r="AD226" s="29">
        <f t="shared" si="121"/>
        <v>1.0808524183144852</v>
      </c>
      <c r="AE226" s="25">
        <f t="shared" si="130"/>
        <v>13.243681724740558</v>
      </c>
      <c r="AF226" s="25">
        <f t="shared" si="122"/>
        <v>13.243681724740558</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290.78918279315889</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127.49804426514967</v>
      </c>
      <c r="AD227" s="29">
        <f t="shared" si="121"/>
        <v>1.0808524183144852</v>
      </c>
      <c r="AE227" s="25">
        <f t="shared" si="130"/>
        <v>13.243681724740558</v>
      </c>
      <c r="AF227" s="25">
        <f t="shared" si="122"/>
        <v>13.243681724740558</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290.78918279315889</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127.49804426514967</v>
      </c>
      <c r="AD228" s="29">
        <f t="shared" si="121"/>
        <v>1.0808524183144852</v>
      </c>
      <c r="AE228" s="25">
        <f t="shared" si="130"/>
        <v>13.243681724740558</v>
      </c>
      <c r="AF228" s="25">
        <f t="shared" si="122"/>
        <v>13.243681724740558</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290.78918279315889</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127.49804426514967</v>
      </c>
      <c r="AD229" s="29">
        <f t="shared" si="121"/>
        <v>1.0808524183144852</v>
      </c>
      <c r="AE229" s="25">
        <f t="shared" si="130"/>
        <v>13.243681724740558</v>
      </c>
      <c r="AF229" s="25">
        <f t="shared" si="122"/>
        <v>13.243681724740558</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290.78918279315889</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127.49804426514967</v>
      </c>
      <c r="AD230" s="29">
        <f t="shared" si="121"/>
        <v>1.0808524183144852</v>
      </c>
      <c r="AE230" s="25">
        <f t="shared" si="130"/>
        <v>13.243681724740558</v>
      </c>
      <c r="AF230" s="25">
        <f t="shared" si="122"/>
        <v>13.243681724740558</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290.78918279315889</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127.49804426514967</v>
      </c>
      <c r="AD231" s="29">
        <f t="shared" si="121"/>
        <v>1.0808524183144852</v>
      </c>
      <c r="AE231" s="25">
        <f t="shared" si="130"/>
        <v>13.243681724740558</v>
      </c>
      <c r="AF231" s="25">
        <f t="shared" si="122"/>
        <v>13.243681724740558</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290.78918279315889</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127.49804426514967</v>
      </c>
      <c r="AD232" s="29">
        <f t="shared" si="121"/>
        <v>1.0808524183144852</v>
      </c>
      <c r="AE232" s="25">
        <f t="shared" si="130"/>
        <v>13.243681724740558</v>
      </c>
      <c r="AF232" s="25">
        <f t="shared" si="122"/>
        <v>13.243681724740558</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290.78918279315889</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127.49804426514967</v>
      </c>
      <c r="AD233" s="29">
        <f t="shared" si="121"/>
        <v>1.0808524183144852</v>
      </c>
      <c r="AE233" s="25">
        <f t="shared" si="130"/>
        <v>13.243681724740558</v>
      </c>
      <c r="AF233" s="25">
        <f t="shared" si="122"/>
        <v>13.243681724740558</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290.78918279315889</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127.49804426514967</v>
      </c>
      <c r="AD234" s="29">
        <f t="shared" si="121"/>
        <v>1.0808524183144852</v>
      </c>
      <c r="AE234" s="25">
        <f t="shared" si="130"/>
        <v>13.243681724740558</v>
      </c>
      <c r="AF234" s="25">
        <f t="shared" si="122"/>
        <v>13.243681724740558</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290.78918279315889</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127.49804426514967</v>
      </c>
      <c r="AD235" s="29">
        <f t="shared" si="121"/>
        <v>1.0808524183144852</v>
      </c>
      <c r="AE235" s="25">
        <f t="shared" si="130"/>
        <v>13.243681724740558</v>
      </c>
      <c r="AF235" s="25">
        <f t="shared" si="122"/>
        <v>13.243681724740558</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290.78918279315889</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127.49804426514967</v>
      </c>
      <c r="AD236" s="29">
        <f t="shared" si="121"/>
        <v>1.0808524183144852</v>
      </c>
      <c r="AE236" s="25">
        <f t="shared" si="130"/>
        <v>13.243681724740558</v>
      </c>
      <c r="AF236" s="25">
        <f t="shared" si="122"/>
        <v>13.243681724740558</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290.78918279315889</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127.49804426514967</v>
      </c>
      <c r="AD237" s="29">
        <f t="shared" si="121"/>
        <v>1.0808524183144852</v>
      </c>
      <c r="AE237" s="25">
        <f t="shared" si="130"/>
        <v>13.243681724740558</v>
      </c>
      <c r="AF237" s="25">
        <f t="shared" si="122"/>
        <v>13.243681724740558</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290.78918279315889</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127.49804426514967</v>
      </c>
      <c r="AD238" s="29">
        <f t="shared" si="121"/>
        <v>1.0808524183144852</v>
      </c>
      <c r="AE238" s="25">
        <f t="shared" si="130"/>
        <v>13.243681724740558</v>
      </c>
      <c r="AF238" s="25">
        <f t="shared" si="122"/>
        <v>13.243681724740558</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290.78918279315889</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127.49804426514967</v>
      </c>
      <c r="AD239" s="29">
        <f t="shared" si="121"/>
        <v>1.0808524183144852</v>
      </c>
      <c r="AE239" s="25">
        <f t="shared" si="130"/>
        <v>13.243681724740558</v>
      </c>
      <c r="AF239" s="25">
        <f t="shared" si="122"/>
        <v>13.243681724740558</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290.78918279315889</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127.49804426514967</v>
      </c>
      <c r="AD240" s="29">
        <f t="shared" si="121"/>
        <v>1.0808524183144852</v>
      </c>
      <c r="AE240" s="25">
        <f t="shared" si="130"/>
        <v>13.243681724740558</v>
      </c>
      <c r="AF240" s="25">
        <f t="shared" si="122"/>
        <v>13.243681724740558</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290.78918279315889</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127.49804426514967</v>
      </c>
      <c r="AD241" s="29">
        <f t="shared" si="121"/>
        <v>1.0808524183144852</v>
      </c>
      <c r="AE241" s="25">
        <f t="shared" si="130"/>
        <v>13.243681724740558</v>
      </c>
      <c r="AF241" s="25">
        <f t="shared" si="122"/>
        <v>13.243681724740558</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290.78918279315889</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127.49804426514967</v>
      </c>
      <c r="AD242" s="29">
        <f t="shared" si="121"/>
        <v>1.0808524183144852</v>
      </c>
      <c r="AE242" s="25">
        <f t="shared" si="130"/>
        <v>13.243681724740558</v>
      </c>
      <c r="AF242" s="25">
        <f t="shared" si="122"/>
        <v>13.243681724740558</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290.78918279315889</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607.4980442651497</v>
      </c>
      <c r="AD243" s="29">
        <f t="shared" si="121"/>
        <v>1.6622911946603092</v>
      </c>
      <c r="AE243" s="25">
        <f t="shared" si="130"/>
        <v>-11.756318275259442</v>
      </c>
      <c r="AF243" s="25">
        <f t="shared" si="122"/>
        <v>-11.756318275259442</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-272.80074649812809</v>
      </c>
      <c r="AH243" s="25">
        <f t="shared" si="140"/>
        <v>11.756318275259442</v>
      </c>
      <c r="AI243" s="25">
        <f t="shared" si="141"/>
        <v>11.756318275259442</v>
      </c>
      <c r="AJ243" s="25">
        <f t="shared" si="142"/>
        <v>11.756318275259442</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607.4980442651497</v>
      </c>
      <c r="AD244" s="29">
        <f t="shared" si="121"/>
        <v>1.6622911946603092</v>
      </c>
      <c r="AE244" s="25">
        <f t="shared" si="130"/>
        <v>13.243681724740558</v>
      </c>
      <c r="AF244" s="25">
        <f t="shared" si="122"/>
        <v>13.243681724740558</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307.31443095547792</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607.4980442651497</v>
      </c>
      <c r="AD245" s="29">
        <f t="shared" si="121"/>
        <v>1.6622911946603092</v>
      </c>
      <c r="AE245" s="25">
        <f t="shared" si="130"/>
        <v>13.243681724740558</v>
      </c>
      <c r="AF245" s="25">
        <f t="shared" si="122"/>
        <v>13.243681724740558</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307.31443095547792</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607.4980442651497</v>
      </c>
      <c r="AD246" s="29">
        <f t="shared" si="121"/>
        <v>1.6622911946603092</v>
      </c>
      <c r="AE246" s="25">
        <f t="shared" si="130"/>
        <v>13.243681724740558</v>
      </c>
      <c r="AF246" s="25">
        <f t="shared" si="122"/>
        <v>13.243681724740558</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307.31443095547792</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607.4980442651497</v>
      </c>
      <c r="AD247" s="29">
        <f t="shared" si="121"/>
        <v>1.6622911946603092</v>
      </c>
      <c r="AE247" s="25">
        <f t="shared" si="130"/>
        <v>13.243681724740558</v>
      </c>
      <c r="AF247" s="25">
        <f t="shared" si="122"/>
        <v>13.243681724740558</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307.31443095547792</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607.4980442651497</v>
      </c>
      <c r="AD248" s="29">
        <f t="shared" si="121"/>
        <v>1.6622911946603092</v>
      </c>
      <c r="AE248" s="25">
        <f t="shared" si="130"/>
        <v>13.243681724740558</v>
      </c>
      <c r="AF248" s="25">
        <f t="shared" si="122"/>
        <v>13.243681724740558</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307.31443095547792</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607.4980442651497</v>
      </c>
      <c r="AD249" s="29">
        <f t="shared" si="121"/>
        <v>1.6622911946603092</v>
      </c>
      <c r="AE249" s="25">
        <f t="shared" si="130"/>
        <v>13.243681724740558</v>
      </c>
      <c r="AF249" s="25">
        <f t="shared" si="122"/>
        <v>13.243681724740558</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307.31443095547792</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607.4980442651497</v>
      </c>
      <c r="AD250" s="29">
        <f t="shared" si="121"/>
        <v>1.6622911946603092</v>
      </c>
      <c r="AE250" s="25">
        <f t="shared" si="130"/>
        <v>13.243681724740558</v>
      </c>
      <c r="AF250" s="25">
        <f t="shared" si="122"/>
        <v>13.243681724740558</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307.31443095547792</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607.4980442651497</v>
      </c>
      <c r="AD251" s="29">
        <f t="shared" si="121"/>
        <v>1.6622911946603092</v>
      </c>
      <c r="AE251" s="25">
        <f t="shared" si="130"/>
        <v>13.243681724740558</v>
      </c>
      <c r="AF251" s="25">
        <f t="shared" si="122"/>
        <v>13.243681724740558</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307.31443095547792</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607.4980442651497</v>
      </c>
      <c r="AD252" s="29">
        <f t="shared" si="121"/>
        <v>1.6622911946603092</v>
      </c>
      <c r="AE252" s="25">
        <f t="shared" si="130"/>
        <v>13.243681724740558</v>
      </c>
      <c r="AF252" s="25">
        <f t="shared" si="122"/>
        <v>13.243681724740558</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307.31443095547792</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607.4980442651497</v>
      </c>
      <c r="AD253" s="29">
        <f t="shared" si="121"/>
        <v>1.6622911946603092</v>
      </c>
      <c r="AE253" s="25">
        <f t="shared" si="130"/>
        <v>13.243681724740558</v>
      </c>
      <c r="AF253" s="25">
        <f t="shared" si="122"/>
        <v>13.243681724740558</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307.31443095547792</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607.4980442651497</v>
      </c>
      <c r="AD254" s="29">
        <f t="shared" si="121"/>
        <v>1.6622911946603092</v>
      </c>
      <c r="AE254" s="25">
        <f t="shared" si="130"/>
        <v>13.243681724740558</v>
      </c>
      <c r="AF254" s="25">
        <f t="shared" si="122"/>
        <v>13.243681724740558</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307.31443095547792</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607.4980442651497</v>
      </c>
      <c r="AD255" s="29">
        <f t="shared" si="121"/>
        <v>1.6622911946603092</v>
      </c>
      <c r="AE255" s="25">
        <f t="shared" si="130"/>
        <v>13.243681724740558</v>
      </c>
      <c r="AF255" s="25">
        <f t="shared" si="122"/>
        <v>13.243681724740558</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307.31443095547792</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607.4980442651497</v>
      </c>
      <c r="AD256" s="29">
        <f t="shared" si="121"/>
        <v>1.6622911946603092</v>
      </c>
      <c r="AE256" s="25">
        <f t="shared" si="130"/>
        <v>13.243681724740558</v>
      </c>
      <c r="AF256" s="25">
        <f t="shared" si="122"/>
        <v>13.243681724740558</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307.31443095547792</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607.4980442651497</v>
      </c>
      <c r="AD257" s="29">
        <f t="shared" si="121"/>
        <v>1.6622911946603092</v>
      </c>
      <c r="AE257" s="25">
        <f t="shared" si="130"/>
        <v>13.243681724740558</v>
      </c>
      <c r="AF257" s="25">
        <f t="shared" si="122"/>
        <v>13.243681724740558</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307.31443095547792</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207.49804426514967</v>
      </c>
      <c r="AD258" s="29">
        <f t="shared" si="121"/>
        <v>1.1315841256315584</v>
      </c>
      <c r="AE258" s="25">
        <f t="shared" si="130"/>
        <v>13.243681724740558</v>
      </c>
      <c r="AF258" s="25">
        <f t="shared" si="122"/>
        <v>13.243681724740558</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307.31443095547792</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207.49804426514967</v>
      </c>
      <c r="AD259" s="29">
        <f t="shared" ref="AD259:AD322" si="156">IF($A259&lt;0,0,(1+$AC259/(hasterate*100))*(1+$AS$26/100*AND($J259&gt;0,$J259&lt;=$AT$26))*(1+$AS$35/100*AND($M259&gt;0,$M259&lt;=$AT$35))*(1+0.3*($X259&gt;0)))</f>
        <v>1.1315841256315584</v>
      </c>
      <c r="AE259" s="25">
        <f t="shared" si="130"/>
        <v>13.243681724740558</v>
      </c>
      <c r="AF259" s="25">
        <f t="shared" ref="AF259:AF322" si="157">MIN(instcost,AE259)</f>
        <v>13.243681724740558</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307.31443095547792</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207.49804426514967</v>
      </c>
      <c r="AD260" s="29">
        <f t="shared" si="156"/>
        <v>1.1315841256315584</v>
      </c>
      <c r="AE260" s="25">
        <f t="shared" ref="AE260:AE323" si="165">IF($A260&lt;0,0,$AN$45+IF($P260&gt;0,$AN$37*$AL$37,0)+$S260*(60-IF(CharLevel&gt;60,(CharLevel-60)*2,0))*$AL$38+IF($J260=1,$AL$26*-25+IF($AL$39, 30, 0),0)+IF($M260=1,$AL$35*-10,0)+IF(AE259&gt;instcost,AE259-instcost,0))</f>
        <v>13.243681724740558</v>
      </c>
      <c r="AF260" s="25">
        <f t="shared" si="157"/>
        <v>13.243681724740558</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307.31443095547792</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207.49804426514967</v>
      </c>
      <c r="AD261" s="29">
        <f t="shared" si="156"/>
        <v>1.1315841256315584</v>
      </c>
      <c r="AE261" s="25">
        <f t="shared" si="165"/>
        <v>13.243681724740558</v>
      </c>
      <c r="AF261" s="25">
        <f t="shared" si="157"/>
        <v>13.243681724740558</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307.31443095547792</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207.49804426514967</v>
      </c>
      <c r="AD262" s="29">
        <f t="shared" si="156"/>
        <v>1.1315841256315584</v>
      </c>
      <c r="AE262" s="25">
        <f t="shared" si="165"/>
        <v>13.243681724740558</v>
      </c>
      <c r="AF262" s="25">
        <f t="shared" si="157"/>
        <v>13.243681724740558</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307.31443095547792</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207.49804426514967</v>
      </c>
      <c r="AD263" s="29">
        <f t="shared" si="156"/>
        <v>1.1315841256315584</v>
      </c>
      <c r="AE263" s="25">
        <f t="shared" si="165"/>
        <v>13.243681724740558</v>
      </c>
      <c r="AF263" s="25">
        <f t="shared" si="157"/>
        <v>13.243681724740558</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290.78918279315889</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207.49804426514967</v>
      </c>
      <c r="AD264" s="29">
        <f t="shared" si="156"/>
        <v>1.1315841256315584</v>
      </c>
      <c r="AE264" s="25">
        <f t="shared" si="165"/>
        <v>13.243681724740558</v>
      </c>
      <c r="AF264" s="25">
        <f t="shared" si="157"/>
        <v>13.243681724740558</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290.78918279315889</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207.49804426514967</v>
      </c>
      <c r="AD265" s="29">
        <f t="shared" si="156"/>
        <v>1.1315841256315584</v>
      </c>
      <c r="AE265" s="25">
        <f t="shared" si="165"/>
        <v>13.243681724740558</v>
      </c>
      <c r="AF265" s="25">
        <f t="shared" si="157"/>
        <v>13.243681724740558</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290.78918279315889</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207.49804426514967</v>
      </c>
      <c r="AD266" s="29">
        <f t="shared" si="156"/>
        <v>1.1315841256315584</v>
      </c>
      <c r="AE266" s="25">
        <f t="shared" si="165"/>
        <v>13.243681724740558</v>
      </c>
      <c r="AF266" s="25">
        <f t="shared" si="157"/>
        <v>13.243681724740558</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290.78918279315889</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207.49804426514967</v>
      </c>
      <c r="AD267" s="29">
        <f t="shared" si="156"/>
        <v>1.1315841256315584</v>
      </c>
      <c r="AE267" s="25">
        <f t="shared" si="165"/>
        <v>13.243681724740558</v>
      </c>
      <c r="AF267" s="25">
        <f t="shared" si="157"/>
        <v>13.243681724740558</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290.78918279315889</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207.49804426514967</v>
      </c>
      <c r="AD268" s="29">
        <f t="shared" si="156"/>
        <v>1.1315841256315584</v>
      </c>
      <c r="AE268" s="25">
        <f t="shared" si="165"/>
        <v>13.243681724740558</v>
      </c>
      <c r="AF268" s="25">
        <f t="shared" si="157"/>
        <v>13.243681724740558</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290.78918279315889</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207.49804426514967</v>
      </c>
      <c r="AD269" s="29">
        <f t="shared" si="156"/>
        <v>1.1315841256315584</v>
      </c>
      <c r="AE269" s="25">
        <f t="shared" si="165"/>
        <v>13.243681724740558</v>
      </c>
      <c r="AF269" s="25">
        <f t="shared" si="157"/>
        <v>13.243681724740558</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290.78918279315889</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207.49804426514967</v>
      </c>
      <c r="AD270" s="29">
        <f t="shared" si="156"/>
        <v>1.1315841256315584</v>
      </c>
      <c r="AE270" s="25">
        <f t="shared" si="165"/>
        <v>13.243681724740558</v>
      </c>
      <c r="AF270" s="25">
        <f t="shared" si="157"/>
        <v>13.243681724740558</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290.78918279315889</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207.49804426514967</v>
      </c>
      <c r="AD271" s="29">
        <f t="shared" si="156"/>
        <v>1.1315841256315584</v>
      </c>
      <c r="AE271" s="25">
        <f t="shared" si="165"/>
        <v>13.243681724740558</v>
      </c>
      <c r="AF271" s="25">
        <f t="shared" si="157"/>
        <v>13.243681724740558</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290.78918279315889</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207.49804426514967</v>
      </c>
      <c r="AD272" s="29">
        <f t="shared" si="156"/>
        <v>1.1315841256315584</v>
      </c>
      <c r="AE272" s="25">
        <f t="shared" si="165"/>
        <v>13.243681724740558</v>
      </c>
      <c r="AF272" s="25">
        <f t="shared" si="157"/>
        <v>13.243681724740558</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290.78918279315889</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127.49804426514967</v>
      </c>
      <c r="AD273" s="29">
        <f t="shared" si="156"/>
        <v>1.0808524183144852</v>
      </c>
      <c r="AE273" s="25">
        <f t="shared" si="165"/>
        <v>13.243681724740558</v>
      </c>
      <c r="AF273" s="25">
        <f t="shared" si="157"/>
        <v>13.243681724740558</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290.78918279315889</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127.49804426514967</v>
      </c>
      <c r="AD274" s="29">
        <f t="shared" si="156"/>
        <v>1.0808524183144852</v>
      </c>
      <c r="AE274" s="25">
        <f t="shared" si="165"/>
        <v>13.243681724740558</v>
      </c>
      <c r="AF274" s="25">
        <f t="shared" si="157"/>
        <v>13.243681724740558</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290.78918279315889</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127.49804426514967</v>
      </c>
      <c r="AD275" s="29">
        <f t="shared" si="156"/>
        <v>1.0808524183144852</v>
      </c>
      <c r="AE275" s="25">
        <f t="shared" si="165"/>
        <v>13.243681724740558</v>
      </c>
      <c r="AF275" s="25">
        <f t="shared" si="157"/>
        <v>13.243681724740558</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290.78918279315889</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127.49804426514967</v>
      </c>
      <c r="AD276" s="29">
        <f t="shared" si="156"/>
        <v>1.0808524183144852</v>
      </c>
      <c r="AE276" s="25">
        <f t="shared" si="165"/>
        <v>13.243681724740558</v>
      </c>
      <c r="AF276" s="25">
        <f t="shared" si="157"/>
        <v>13.243681724740558</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290.78918279315889</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127.49804426514967</v>
      </c>
      <c r="AD277" s="29">
        <f t="shared" si="156"/>
        <v>1.0808524183144852</v>
      </c>
      <c r="AE277" s="25">
        <f t="shared" si="165"/>
        <v>13.243681724740558</v>
      </c>
      <c r="AF277" s="25">
        <f t="shared" si="157"/>
        <v>13.243681724740558</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290.78918279315889</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127.49804426514967</v>
      </c>
      <c r="AD278" s="29">
        <f t="shared" si="156"/>
        <v>1.0808524183144852</v>
      </c>
      <c r="AE278" s="25">
        <f t="shared" si="165"/>
        <v>13.243681724740558</v>
      </c>
      <c r="AF278" s="25">
        <f t="shared" si="157"/>
        <v>13.243681724740558</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290.78918279315889</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127.49804426514967</v>
      </c>
      <c r="AD279" s="29">
        <f t="shared" si="156"/>
        <v>1.0808524183144852</v>
      </c>
      <c r="AE279" s="25">
        <f t="shared" si="165"/>
        <v>13.243681724740558</v>
      </c>
      <c r="AF279" s="25">
        <f t="shared" si="157"/>
        <v>13.243681724740558</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290.78918279315889</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127.49804426514967</v>
      </c>
      <c r="AD280" s="29">
        <f t="shared" si="156"/>
        <v>1.0808524183144852</v>
      </c>
      <c r="AE280" s="25">
        <f t="shared" si="165"/>
        <v>13.243681724740558</v>
      </c>
      <c r="AF280" s="25">
        <f t="shared" si="157"/>
        <v>13.243681724740558</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290.78918279315889</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127.49804426514967</v>
      </c>
      <c r="AD281" s="29">
        <f t="shared" si="156"/>
        <v>1.0808524183144852</v>
      </c>
      <c r="AE281" s="25">
        <f t="shared" si="165"/>
        <v>13.243681724740558</v>
      </c>
      <c r="AF281" s="25">
        <f t="shared" si="157"/>
        <v>13.243681724740558</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290.78918279315889</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127.49804426514967</v>
      </c>
      <c r="AD282" s="29">
        <f t="shared" si="156"/>
        <v>1.0808524183144852</v>
      </c>
      <c r="AE282" s="25">
        <f t="shared" si="165"/>
        <v>13.243681724740558</v>
      </c>
      <c r="AF282" s="25">
        <f t="shared" si="157"/>
        <v>13.243681724740558</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290.78918279315889</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127.49804426514967</v>
      </c>
      <c r="AD283" s="29">
        <f t="shared" si="156"/>
        <v>1.0808524183144852</v>
      </c>
      <c r="AE283" s="25">
        <f t="shared" si="165"/>
        <v>13.243681724740558</v>
      </c>
      <c r="AF283" s="25">
        <f t="shared" si="157"/>
        <v>13.243681724740558</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290.78918279315889</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127.49804426514967</v>
      </c>
      <c r="AD284" s="29">
        <f t="shared" si="156"/>
        <v>1.0808524183144852</v>
      </c>
      <c r="AE284" s="25">
        <f t="shared" si="165"/>
        <v>13.243681724740558</v>
      </c>
      <c r="AF284" s="25">
        <f t="shared" si="157"/>
        <v>13.243681724740558</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290.78918279315889</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127.49804426514967</v>
      </c>
      <c r="AD285" s="29">
        <f t="shared" si="156"/>
        <v>1.0808524183144852</v>
      </c>
      <c r="AE285" s="25">
        <f t="shared" si="165"/>
        <v>13.243681724740558</v>
      </c>
      <c r="AF285" s="25">
        <f t="shared" si="157"/>
        <v>13.243681724740558</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290.78918279315889</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127.49804426514967</v>
      </c>
      <c r="AD286" s="29">
        <f t="shared" si="156"/>
        <v>1.0808524183144852</v>
      </c>
      <c r="AE286" s="25">
        <f t="shared" si="165"/>
        <v>13.243681724740558</v>
      </c>
      <c r="AF286" s="25">
        <f t="shared" si="157"/>
        <v>13.243681724740558</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290.78918279315889</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127.49804426514967</v>
      </c>
      <c r="AD287" s="29">
        <f t="shared" si="156"/>
        <v>1.0808524183144852</v>
      </c>
      <c r="AE287" s="25">
        <f t="shared" si="165"/>
        <v>13.243681724740558</v>
      </c>
      <c r="AF287" s="25">
        <f t="shared" si="157"/>
        <v>13.243681724740558</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290.78918279315889</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127.49804426514967</v>
      </c>
      <c r="AD288" s="29">
        <f t="shared" si="156"/>
        <v>1.0808524183144852</v>
      </c>
      <c r="AE288" s="25">
        <f t="shared" si="165"/>
        <v>13.243681724740558</v>
      </c>
      <c r="AF288" s="25">
        <f t="shared" si="157"/>
        <v>13.243681724740558</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290.78918279315889</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127.49804426514967</v>
      </c>
      <c r="AD289" s="29">
        <f t="shared" si="156"/>
        <v>1.0808524183144852</v>
      </c>
      <c r="AE289" s="25">
        <f t="shared" si="165"/>
        <v>13.243681724740558</v>
      </c>
      <c r="AF289" s="25">
        <f t="shared" si="157"/>
        <v>13.243681724740558</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290.78918279315889</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127.49804426514967</v>
      </c>
      <c r="AD290" s="29">
        <f t="shared" si="156"/>
        <v>1.0808524183144852</v>
      </c>
      <c r="AE290" s="25">
        <f t="shared" si="165"/>
        <v>13.243681724740558</v>
      </c>
      <c r="AF290" s="25">
        <f t="shared" si="157"/>
        <v>13.243681724740558</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290.78918279315889</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127.49804426514967</v>
      </c>
      <c r="AD291" s="29">
        <f t="shared" si="156"/>
        <v>1.0808524183144852</v>
      </c>
      <c r="AE291" s="25">
        <f t="shared" si="165"/>
        <v>13.243681724740558</v>
      </c>
      <c r="AF291" s="25">
        <f t="shared" si="157"/>
        <v>13.243681724740558</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290.78918279315889</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127.49804426514967</v>
      </c>
      <c r="AD292" s="29">
        <f t="shared" si="156"/>
        <v>1.0808524183144852</v>
      </c>
      <c r="AE292" s="25">
        <f t="shared" si="165"/>
        <v>13.243681724740558</v>
      </c>
      <c r="AF292" s="25">
        <f t="shared" si="157"/>
        <v>13.243681724740558</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290.78918279315889</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127.49804426514967</v>
      </c>
      <c r="AD293" s="29">
        <f t="shared" si="156"/>
        <v>1.0808524183144852</v>
      </c>
      <c r="AE293" s="25">
        <f t="shared" si="165"/>
        <v>13.243681724740558</v>
      </c>
      <c r="AF293" s="25">
        <f t="shared" si="157"/>
        <v>13.243681724740558</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290.78918279315889</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127.49804426514967</v>
      </c>
      <c r="AD294" s="29">
        <f t="shared" si="156"/>
        <v>1.0808524183144852</v>
      </c>
      <c r="AE294" s="25">
        <f t="shared" si="165"/>
        <v>13.243681724740558</v>
      </c>
      <c r="AF294" s="25">
        <f t="shared" si="157"/>
        <v>13.243681724740558</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290.78918279315889</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127.49804426514967</v>
      </c>
      <c r="AD295" s="29">
        <f t="shared" si="156"/>
        <v>1.0808524183144852</v>
      </c>
      <c r="AE295" s="25">
        <f t="shared" si="165"/>
        <v>13.243681724740558</v>
      </c>
      <c r="AF295" s="25">
        <f t="shared" si="157"/>
        <v>13.243681724740558</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290.78918279315889</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127.49804426514967</v>
      </c>
      <c r="AD296" s="29">
        <f t="shared" si="156"/>
        <v>1.0808524183144852</v>
      </c>
      <c r="AE296" s="25">
        <f t="shared" si="165"/>
        <v>13.243681724740558</v>
      </c>
      <c r="AF296" s="25">
        <f t="shared" si="157"/>
        <v>13.243681724740558</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290.78918279315889</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127.49804426514967</v>
      </c>
      <c r="AD297" s="29">
        <f t="shared" si="156"/>
        <v>1.0808524183144852</v>
      </c>
      <c r="AE297" s="25">
        <f t="shared" si="165"/>
        <v>13.243681724740558</v>
      </c>
      <c r="AF297" s="25">
        <f t="shared" si="157"/>
        <v>13.243681724740558</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290.78918279315889</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127.49804426514967</v>
      </c>
      <c r="AD298" s="29">
        <f t="shared" si="156"/>
        <v>1.0808524183144852</v>
      </c>
      <c r="AE298" s="25">
        <f t="shared" si="165"/>
        <v>13.243681724740558</v>
      </c>
      <c r="AF298" s="25">
        <f t="shared" si="157"/>
        <v>13.243681724740558</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290.78918279315889</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127.49804426514967</v>
      </c>
      <c r="AD299" s="29">
        <f t="shared" si="156"/>
        <v>1.0808524183144852</v>
      </c>
      <c r="AE299" s="25">
        <f t="shared" si="165"/>
        <v>13.243681724740558</v>
      </c>
      <c r="AF299" s="25">
        <f t="shared" si="157"/>
        <v>13.243681724740558</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290.78918279315889</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127.49804426514967</v>
      </c>
      <c r="AD300" s="29">
        <f t="shared" si="156"/>
        <v>1.0808524183144852</v>
      </c>
      <c r="AE300" s="25">
        <f t="shared" si="165"/>
        <v>13.243681724740558</v>
      </c>
      <c r="AF300" s="25">
        <f t="shared" si="157"/>
        <v>13.243681724740558</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290.78918279315889</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127.49804426514967</v>
      </c>
      <c r="AD301" s="29">
        <f t="shared" si="156"/>
        <v>1.0808524183144852</v>
      </c>
      <c r="AE301" s="25">
        <f t="shared" si="165"/>
        <v>13.243681724740558</v>
      </c>
      <c r="AF301" s="25">
        <f t="shared" si="157"/>
        <v>13.243681724740558</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290.78918279315889</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127.49804426514967</v>
      </c>
      <c r="AD302" s="29">
        <f t="shared" si="156"/>
        <v>1.0808524183144852</v>
      </c>
      <c r="AE302" s="25">
        <f t="shared" si="165"/>
        <v>13.243681724740558</v>
      </c>
      <c r="AF302" s="25">
        <f t="shared" si="157"/>
        <v>13.243681724740558</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290.78918279315889</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27.53663667373209</v>
      </c>
      <c r="R117" s="250">
        <f t="shared" si="10"/>
        <v>101.09758764788234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1"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7" sqref="A7"/>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105.70726033486241</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-78.790475164340776</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20.853630167431206</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38.853630167431206</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-13.508993071185728</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82.158089843643523</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-77.391299250440653</v>
      </c>
      <c r="V14" s="890">
        <f>($D14*dpsStr+$E14*dpsAgi+$G14*dpsCrit+$H14*dpsHit+$F14*dpsAP+$I14*dpsHaste+$J14*dpsArmor+$K14*dpsExp)-'Gear &amp; Buffs'!$AF$68</f>
        <v>-83.599708461007168</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-358.28304711748274</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-366.75044635651398</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-321.48789019288802</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-342.56052597985558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0.33374978855329523</v>
      </c>
      <c r="AH5" s="853">
        <f>IF(AI5*AG5&gt;0, AI5*AG5, 1)</f>
        <v>22.601961660231133</v>
      </c>
      <c r="AI5" s="853">
        <f>Optimize!C55</f>
        <v>67.721276343586098</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-381.15216877221314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-381.15216877221314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1.3273184182409241</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-348.99246644524851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1.2710807867364675</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161.37802139931458</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-125.23218030605346</v>
      </c>
      <c r="Y9" s="890">
        <f>($D9*dpsStr+$E9*dpsAgi+$G9*dpsCrit+$H9*dpsHit+$F9*dpsAP+$I9*dpsHaste+$J9*dpsArmor+$K9*dpsExp)+$W9-'Gear &amp; Buffs'!$AF$71</f>
        <v>230.19222660458797</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1.2710807867364675</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-363.32146482896655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1.2710807867364675</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-355.42440691064144</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1.2710807867364675</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-362.57100742774469</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1.2710807867364675</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-381.15216877221314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22.317277650989851</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118.42031903694044</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-338.83703310896664</v>
      </c>
      <c r="Y14" s="890">
        <f>($D14*dpsStr+$E14*dpsAgi+$G14*dpsCrit+$H14*dpsHit+$F14*dpsAP+$I14*dpsHaste+$J14*dpsArmor+$K14*dpsExp)+$W14-'Gear &amp; Buffs'!$AF$71</f>
        <v>16.587373801674822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29.999999979540963</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-381.15216877221314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152.96987757355049</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99.923869007506397</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355.42440691064144</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5.0989959209921816</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-250.14105798178093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-351.13644660037949</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-361.85634737603436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-352.56576670380014</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-374.00556825510989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43.811607005597587</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-343.55148433184326</v>
      </c>
      <c r="Y22" s="890">
        <f>($D22*dpsStr+$E22*dpsAgi+$G22*dpsCrit+$H22*dpsHit+$F22*dpsAP+$I22*dpsHaste+$J22*dpsArmor+$K22*dpsExp)+$W22-'Gear &amp; Buffs'!$AF$71</f>
        <v>11.872922578798196</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-214.65122475839848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0.77888830774859863</v>
      </c>
      <c r="AH23" s="1317">
        <f t="shared" si="2"/>
        <v>0.60666699594747564</v>
      </c>
      <c r="AI23" s="1317">
        <f t="shared" si="2"/>
        <v>0.47252582984045527</v>
      </c>
      <c r="AJ23" s="1317">
        <f t="shared" si="2"/>
        <v>0.36804484397193443</v>
      </c>
      <c r="AK23" s="1317">
        <f t="shared" si="2"/>
        <v>0.28666582569689703</v>
      </c>
      <c r="AL23" s="1317">
        <f t="shared" si="2"/>
        <v>0.22328065986641085</v>
      </c>
      <c r="AM23" s="1317">
        <f t="shared" si="2"/>
        <v>0.17391069531633921</v>
      </c>
      <c r="AN23" s="1317">
        <f t="shared" si="2"/>
        <v>0.13545700717432557</v>
      </c>
      <c r="AO23" s="1317">
        <f t="shared" si="2"/>
        <v>0.10550587909070022</v>
      </c>
      <c r="AP23" s="1317">
        <f t="shared" si="2"/>
        <v>8.2177295622483756E-2</v>
      </c>
      <c r="AQ23" s="1317">
        <f t="shared" si="2"/>
        <v>6.4006934722752692E-2</v>
      </c>
      <c r="AR23" s="1317">
        <f t="shared" si="2"/>
        <v>4.9854253070379856E-2</v>
      </c>
      <c r="AS23" s="1317">
        <f t="shared" si="2"/>
        <v>3.8830894808058541E-2</v>
      </c>
      <c r="AT23" s="1317">
        <f t="shared" si="2"/>
        <v>3.0244929945412561E-2</v>
      </c>
      <c r="AU23" s="1317">
        <f t="shared" si="2"/>
        <v>2.355742230315731E-2</v>
      </c>
      <c r="AV23" s="1317">
        <f t="shared" si="2"/>
        <v>1.8348600792625288E-2</v>
      </c>
      <c r="AW23" s="1317">
        <f t="shared" si="2"/>
        <v>1.4291510620922506E-2</v>
      </c>
      <c r="AX23" s="1317">
        <f t="shared" si="2"/>
        <v>1.1131490522701454E-2</v>
      </c>
      <c r="AY23" s="1317">
        <f t="shared" si="2"/>
        <v>8.6701878159464989E-3</v>
      </c>
      <c r="AZ23" s="1317">
        <f t="shared" si="2"/>
        <v>6.7531079158250863E-3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-381.15216877221314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0.22111169225140132</v>
      </c>
      <c r="AG24" s="1317">
        <f t="shared" ref="AG24:AZ24" si="3">AF24+17/crrate/100</f>
        <v>0.22881204068345706</v>
      </c>
      <c r="AH24" s="1317">
        <f t="shared" si="3"/>
        <v>0.23651238911551281</v>
      </c>
      <c r="AI24" s="1317">
        <f t="shared" si="3"/>
        <v>0.24421273754756856</v>
      </c>
      <c r="AJ24" s="1317">
        <f t="shared" si="3"/>
        <v>0.25191308597962431</v>
      </c>
      <c r="AK24" s="1317">
        <f t="shared" si="3"/>
        <v>0.25961343441168006</v>
      </c>
      <c r="AL24" s="1317">
        <f t="shared" si="3"/>
        <v>0.2673137828437358</v>
      </c>
      <c r="AM24" s="1317">
        <f t="shared" si="3"/>
        <v>0.27501413127579155</v>
      </c>
      <c r="AN24" s="1317">
        <f t="shared" si="3"/>
        <v>0.2827144797078473</v>
      </c>
      <c r="AO24" s="1317">
        <f t="shared" si="3"/>
        <v>0.29041482813990305</v>
      </c>
      <c r="AP24" s="1317">
        <f t="shared" si="3"/>
        <v>0.2981151765719588</v>
      </c>
      <c r="AQ24" s="1317">
        <f t="shared" si="3"/>
        <v>0.30581552500401454</v>
      </c>
      <c r="AR24" s="1317">
        <f t="shared" si="3"/>
        <v>0.31351587343607029</v>
      </c>
      <c r="AS24" s="1317">
        <f t="shared" si="3"/>
        <v>0.32121622186812604</v>
      </c>
      <c r="AT24" s="1317">
        <f t="shared" si="3"/>
        <v>0.32891657030018179</v>
      </c>
      <c r="AU24" s="1317">
        <f t="shared" si="3"/>
        <v>0.33661691873223754</v>
      </c>
      <c r="AV24" s="1317">
        <f t="shared" si="3"/>
        <v>0.34431726716429328</v>
      </c>
      <c r="AW24" s="1317">
        <f t="shared" si="3"/>
        <v>0.35201761559634903</v>
      </c>
      <c r="AX24" s="1317">
        <f t="shared" si="3"/>
        <v>0.35971796402840478</v>
      </c>
      <c r="AY24" s="1317">
        <f t="shared" si="3"/>
        <v>0.36741831246046053</v>
      </c>
      <c r="AZ24" s="1317">
        <f t="shared" si="3"/>
        <v>0.37511866089251628</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-316.05070582380881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0.77888830774859863</v>
      </c>
      <c r="AG25" s="1318">
        <f t="shared" ref="AG25:AZ25" si="4">AF25*(1-AG24)</f>
        <v>0.60066928458815727</v>
      </c>
      <c r="AH25" s="1318">
        <f t="shared" si="4"/>
        <v>0.45860355702190636</v>
      </c>
      <c r="AI25" s="1318">
        <f t="shared" si="4"/>
        <v>0.34660672691253414</v>
      </c>
      <c r="AJ25" s="1318">
        <f t="shared" si="4"/>
        <v>0.25929195671470073</v>
      </c>
      <c r="AK25" s="1318">
        <f t="shared" si="4"/>
        <v>0.1919762813166726</v>
      </c>
      <c r="AL25" s="1318">
        <f t="shared" si="4"/>
        <v>0.14065837534163966</v>
      </c>
      <c r="AM25" s="1318">
        <f t="shared" si="4"/>
        <v>0.10197533444039442</v>
      </c>
      <c r="AN25" s="1318">
        <f t="shared" si="4"/>
        <v>7.3145430821044577E-2</v>
      </c>
      <c r="AO25" s="1318">
        <f t="shared" si="4"/>
        <v>5.1902913099931745E-2</v>
      </c>
      <c r="AP25" s="1318">
        <f t="shared" si="4"/>
        <v>3.6429866996546566E-2</v>
      </c>
      <c r="AQ25" s="1318">
        <f t="shared" si="4"/>
        <v>2.5289048095171254E-2</v>
      </c>
      <c r="AR25" s="1318">
        <f t="shared" si="4"/>
        <v>1.7360530093246847E-2</v>
      </c>
      <c r="AS25" s="1318">
        <f t="shared" si="4"/>
        <v>1.1784046207066188E-2</v>
      </c>
      <c r="AT25" s="1318">
        <f t="shared" si="4"/>
        <v>7.9080781443791118E-3</v>
      </c>
      <c r="AU25" s="1318">
        <f t="shared" si="4"/>
        <v>5.2460852463244645E-3</v>
      </c>
      <c r="AV25" s="1318">
        <f t="shared" si="4"/>
        <v>3.4397675109991061E-3</v>
      </c>
      <c r="AW25" s="1318">
        <f t="shared" si="4"/>
        <v>2.2289087535714127E-3</v>
      </c>
      <c r="AX25" s="1318">
        <f t="shared" si="4"/>
        <v>1.4271302347316148E-3</v>
      </c>
      <c r="AY25" s="1318">
        <f t="shared" si="4"/>
        <v>9.0277645222522395E-4</v>
      </c>
      <c r="AZ25" s="1318">
        <f t="shared" si="4"/>
        <v>5.6412815838120117E-4</v>
      </c>
      <c r="BA25" s="1318"/>
    </row>
    <row r="26" spans="1:53" ht="12" customHeight="1">
      <c r="A26" s="10" t="s">
        <v>133</v>
      </c>
      <c r="B26" s="116">
        <v>32505</v>
      </c>
      <c r="C26" s="116">
        <v>3</v>
      </c>
      <c r="D26" s="114"/>
      <c r="E26" s="114"/>
      <c r="F26" s="115">
        <v>84</v>
      </c>
      <c r="G26" s="116"/>
      <c r="H26" s="116">
        <v>20</v>
      </c>
      <c r="I26" s="124"/>
      <c r="J26" s="124">
        <f>300*itMotBup</f>
        <v>167.41523880889335</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-219.55904441340647</v>
      </c>
      <c r="Y26" s="890">
        <f>($D26*dpsStr+$E26*dpsAgi+$G26*dpsCrit+$H26*dpsHit+$F26*dpsAP+$I26*dpsHaste+$J26*dpsArmor+$K26*dpsExp)+$W26-'Gear &amp; Buffs'!$AF$71</f>
        <v>135.86536249723497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0.17821902316044139</v>
      </c>
      <c r="AH26" s="1318">
        <f t="shared" si="5"/>
        <v>0.14206572756625097</v>
      </c>
      <c r="AI26" s="1318">
        <f t="shared" si="5"/>
        <v>0.11199683010937221</v>
      </c>
      <c r="AJ26" s="1318">
        <f t="shared" si="5"/>
        <v>8.7314770197833375E-2</v>
      </c>
      <c r="AK26" s="1318">
        <f t="shared" si="5"/>
        <v>6.7315675398028144E-2</v>
      </c>
      <c r="AL26" s="1318">
        <f t="shared" si="5"/>
        <v>5.1317905975032954E-2</v>
      </c>
      <c r="AM26" s="1318">
        <f t="shared" si="5"/>
        <v>3.8683040901245254E-2</v>
      </c>
      <c r="AN26" s="1318">
        <f t="shared" si="5"/>
        <v>2.8829903619349829E-2</v>
      </c>
      <c r="AO26" s="1318">
        <f t="shared" si="5"/>
        <v>2.1242517721112828E-2</v>
      </c>
      <c r="AP26" s="1318">
        <f t="shared" si="5"/>
        <v>1.5473046103385185E-2</v>
      </c>
      <c r="AQ26" s="1318">
        <f t="shared" si="5"/>
        <v>1.114081890137531E-2</v>
      </c>
      <c r="AR26" s="1318">
        <f t="shared" si="5"/>
        <v>7.9285180019244058E-3</v>
      </c>
      <c r="AS26" s="1318">
        <f t="shared" si="5"/>
        <v>5.5764838861806576E-3</v>
      </c>
      <c r="AT26" s="1318">
        <f t="shared" si="5"/>
        <v>3.8759680626870765E-3</v>
      </c>
      <c r="AU26" s="1318">
        <f t="shared" si="5"/>
        <v>2.6619928980546473E-3</v>
      </c>
      <c r="AV26" s="1318">
        <f t="shared" si="5"/>
        <v>1.8063177353253579E-3</v>
      </c>
      <c r="AW26" s="1318">
        <f t="shared" si="5"/>
        <v>1.2108587574276937E-3</v>
      </c>
      <c r="AX26" s="1318">
        <f t="shared" si="5"/>
        <v>8.0177851883979801E-4</v>
      </c>
      <c r="AY26" s="1318">
        <f t="shared" si="5"/>
        <v>5.2435378250639082E-4</v>
      </c>
      <c r="AZ26" s="1318">
        <f t="shared" si="5"/>
        <v>3.3864829384402272E-4</v>
      </c>
      <c r="BA26" s="1318">
        <f>SUM(AG26:AZ26)+AF24</f>
        <v>0.99943587184161897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-327.55266489393875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-364.00032753116534</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52.775681323727703</v>
      </c>
      <c r="AG28" s="1321">
        <f t="shared" ref="AG28:AZ28" si="7">AG27*AG26</f>
        <v>3.0297233937275037</v>
      </c>
      <c r="AH28" s="1321">
        <f t="shared" si="7"/>
        <v>4.8302347372525327</v>
      </c>
      <c r="AI28" s="1321">
        <f t="shared" si="7"/>
        <v>5.7118383355779825</v>
      </c>
      <c r="AJ28" s="1321">
        <f t="shared" si="7"/>
        <v>5.9374043734526696</v>
      </c>
      <c r="AK28" s="1321">
        <f t="shared" si="7"/>
        <v>5.721832408832392</v>
      </c>
      <c r="AL28" s="1321">
        <f t="shared" si="7"/>
        <v>5.234426409453361</v>
      </c>
      <c r="AM28" s="1321">
        <f t="shared" si="7"/>
        <v>4.6032818672481852</v>
      </c>
      <c r="AN28" s="1321">
        <f t="shared" si="7"/>
        <v>3.9208668922315768</v>
      </c>
      <c r="AO28" s="1321">
        <f t="shared" si="7"/>
        <v>3.2501052113302626</v>
      </c>
      <c r="AP28" s="1321">
        <f t="shared" si="7"/>
        <v>2.6304178375754814</v>
      </c>
      <c r="AQ28" s="1321">
        <f t="shared" si="7"/>
        <v>2.0833331345571828</v>
      </c>
      <c r="AR28" s="1321">
        <f t="shared" si="7"/>
        <v>1.6174176723925788</v>
      </c>
      <c r="AS28" s="1321">
        <f t="shared" si="7"/>
        <v>1.2324029388459254</v>
      </c>
      <c r="AT28" s="1321">
        <f t="shared" si="7"/>
        <v>0.92248039891952416</v>
      </c>
      <c r="AU28" s="1321">
        <f t="shared" si="7"/>
        <v>0.67880818900393503</v>
      </c>
      <c r="AV28" s="1321">
        <f t="shared" si="7"/>
        <v>0.49131842400849735</v>
      </c>
      <c r="AW28" s="1321">
        <f t="shared" si="7"/>
        <v>0.3499381808966035</v>
      </c>
      <c r="AX28" s="1321">
        <f t="shared" si="7"/>
        <v>0.24534422676497819</v>
      </c>
      <c r="AY28" s="1321">
        <f t="shared" si="7"/>
        <v>0.16936627174956423</v>
      </c>
      <c r="AZ28" s="1321">
        <f t="shared" si="7"/>
        <v>0.11514041990696773</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13.62357381398599</v>
      </c>
      <c r="X29" s="890">
        <f>($D29*dpsStr+$E29*dpsAgi+$G29*dpsCrit+$H29*dpsHit+$F29*dpsAP+$I29*dpsHaste+$J29*dpsArmor+$K29*dpsExp)+$W29-'Gear &amp; Buffs'!$AF$70</f>
        <v>-173.27749360877672</v>
      </c>
      <c r="Y29" s="890">
        <f>($D29*dpsStr+$E29*dpsAgi+$G29*dpsCrit+$H29*dpsHit+$F29*dpsAP+$I29*dpsHaste+$J29*dpsArmor+$K29*dpsExp)+$W29-'Gear &amp; Buffs'!$AF$71</f>
        <v>182.14691330186471</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-352.20843667794497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93.061040263103479</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-296.03981841039439</v>
      </c>
      <c r="Y31" s="890">
        <f>($D31*dpsStr+$E31*dpsAgi+$G31*dpsCrit+$H31*dpsHit+$F31*dpsAP+$I31*dpsHaste+$J31*dpsArmor+$K31*dpsExp)+$W31-'Gear &amp; Buffs'!$AF$71</f>
        <v>59.384588500247062</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-358.28304711748274</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-317.507220870423</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0.41570551658215604</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-259.05147649541573</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0.41570551658215604</v>
      </c>
    </row>
    <row r="35" spans="1:53" ht="12" customHeight="1">
      <c r="A35" s="126" t="s">
        <v>142</v>
      </c>
      <c r="B35" s="116">
        <v>30627</v>
      </c>
      <c r="C35" s="116">
        <v>2</v>
      </c>
      <c r="D35" s="114"/>
      <c r="E35" s="114"/>
      <c r="F35" s="115">
        <f>340*itTTup</f>
        <v>53.564391380792799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-280.45142913456647</v>
      </c>
      <c r="Y35" s="890">
        <f>($D35*dpsStr+$E35*dpsAgi+$G35*dpsCrit+$H35*dpsHit+$F35*dpsAP+$I35*dpsHaste+$J35*dpsArmor+$K35*dpsExp)+$W35-'Gear &amp; Buffs'!$AF$71</f>
        <v>74.972977776074984</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0.41570551658215604</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-364.00032753116534</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0.41570551658215604</v>
      </c>
    </row>
    <row r="37" spans="1:53" ht="12" customHeight="1">
      <c r="A37" s="126" t="s">
        <v>1939</v>
      </c>
      <c r="B37" s="116">
        <v>30450</v>
      </c>
      <c r="C37" s="116">
        <v>2</v>
      </c>
      <c r="D37" s="114"/>
      <c r="E37" s="114"/>
      <c r="F37" s="115"/>
      <c r="G37" s="127"/>
      <c r="H37" s="115">
        <v>21</v>
      </c>
      <c r="I37" s="124"/>
      <c r="J37" s="124">
        <f>1000*itWSCup</f>
        <v>368.36514501568422</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-219.32626320752019</v>
      </c>
      <c r="Y37" s="890">
        <f>($D37*dpsStr+$E37*dpsAgi+$G37*dpsCrit+$H37*dpsHit+$F37*dpsAP+$I37*dpsHaste+$J37*dpsArmor+$K37*dpsExp)+$W37-'Gear &amp; Buffs'!$AF$71</f>
        <v>136.09814370312125</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0.41570551658215604</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-381.15216877221314</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0.41570551658215604</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-381.15216877221314</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0.41570551658215604</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0.41570551658215604</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0.41570551658215604</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16.258650350760597</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398.84515385836659</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1.3856850552738534E-3</v>
      </c>
      <c r="AH48" s="48">
        <f t="shared" ref="AH48:AY48" si="9">IF(time=0, 0, AG48)</f>
        <v>1.3856850552738534E-3</v>
      </c>
      <c r="AI48" s="48">
        <f t="shared" si="9"/>
        <v>1.3856850552738534E-3</v>
      </c>
      <c r="AJ48" s="48">
        <f t="shared" si="9"/>
        <v>1.3856850552738534E-3</v>
      </c>
      <c r="AK48" s="48">
        <f t="shared" si="9"/>
        <v>1.3856850552738534E-3</v>
      </c>
      <c r="AL48" s="48">
        <f t="shared" si="9"/>
        <v>1.3856850552738534E-3</v>
      </c>
      <c r="AM48" s="48">
        <f t="shared" si="9"/>
        <v>1.3856850552738534E-3</v>
      </c>
      <c r="AN48" s="48">
        <f t="shared" si="9"/>
        <v>1.3856850552738534E-3</v>
      </c>
      <c r="AO48" s="48">
        <f t="shared" si="9"/>
        <v>1.3856850552738534E-3</v>
      </c>
      <c r="AP48" s="48">
        <f t="shared" si="9"/>
        <v>1.3856850552738534E-3</v>
      </c>
      <c r="AQ48" s="48">
        <f t="shared" si="9"/>
        <v>1.3856850552738534E-3</v>
      </c>
      <c r="AR48" s="48">
        <f t="shared" si="9"/>
        <v>1.3856850552738534E-3</v>
      </c>
      <c r="AS48" s="48">
        <f t="shared" si="9"/>
        <v>1.3856850552738534E-3</v>
      </c>
      <c r="AT48" s="48">
        <f t="shared" si="9"/>
        <v>1.3856850552738534E-3</v>
      </c>
      <c r="AU48" s="48">
        <f t="shared" si="9"/>
        <v>1.3856850552738534E-3</v>
      </c>
      <c r="AV48" s="48">
        <f t="shared" si="9"/>
        <v>1.3856850552738534E-3</v>
      </c>
      <c r="AW48" s="48">
        <f t="shared" si="9"/>
        <v>1.3856850552738534E-3</v>
      </c>
      <c r="AX48" s="48">
        <f t="shared" si="9"/>
        <v>1.3856850552738534E-3</v>
      </c>
      <c r="AY48" s="48">
        <f t="shared" si="9"/>
        <v>1.3856850552738534E-3</v>
      </c>
      <c r="AZ48" s="48">
        <f>1-SUM(AF48:AY48)</f>
        <v>0.97367198394979682</v>
      </c>
      <c r="BA48" s="48">
        <f>SUMPRODUCT(AF47:AZ47,AF48:AZ48)*6</f>
        <v>118.42031903698782</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C1" workbookViewId="0">
      <selection activeCell="AX27" sqref="AX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0.7735419364785906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114.88947680800321</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0.2166894584063733</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28.584686840992326</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56.168188661690458</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90.20951512332104</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90.20951512332104</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90.20951512332104</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59.093230298898213</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28.890023701683571</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33.876973757821887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27.818134119816428</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77.558933726482437</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474.27763260950644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14.604520412903629</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6.1046895325937154</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67.753947515643773</v>
      </c>
      <c r="E11" s="21"/>
      <c r="F11" s="21"/>
      <c r="G11" s="21"/>
      <c r="H11" s="21"/>
      <c r="I11" s="21"/>
      <c r="J11" s="789">
        <f>2*hasterate*enMnMHup</f>
        <v>17.807127231675608</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13.397746339809194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1.1164788616507662</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0.22111169225140132</v>
      </c>
      <c r="X16" s="145"/>
      <c r="Y16" s="48"/>
      <c r="Z16" s="48"/>
      <c r="AA16" s="48"/>
      <c r="AB16" s="795" t="s">
        <v>1643</v>
      </c>
      <c r="AC16" s="796">
        <f>IF(AC13*AC15&gt;0,AC13*AC15,1)</f>
        <v>3.3360388386124891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0.51844928335835472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38.502009507002548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0.15313810351313933</v>
      </c>
      <c r="X20" s="1345">
        <f>SUM('Damage Calc'!F5:F7)*bfWFea</f>
        <v>0.17454294295388639</v>
      </c>
      <c r="Y20" s="1345">
        <f>instsec*bfWFea</f>
        <v>4.7299592110211827E-2</v>
      </c>
      <c r="Z20" s="48" t="s">
        <v>95</v>
      </c>
      <c r="AA20" s="48"/>
      <c r="AB20" s="148" t="s">
        <v>1651</v>
      </c>
      <c r="AC20" s="6">
        <f>12/AC16</f>
        <v>3.5970804239770149</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77.558933726482437</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123.9743003934919</v>
      </c>
      <c r="X21" s="1345">
        <f>445*(1+15%*bfWFtl)/14*bOHspd*(W17+W18*W19+W16*bOHcfact)*bOHdamfac</f>
        <v>50.066544389679414</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147.088461141664</v>
      </c>
      <c r="Z21" s="48" t="s">
        <v>95</v>
      </c>
      <c r="AA21" s="48"/>
      <c r="AB21" s="131" t="s">
        <v>1273</v>
      </c>
      <c r="AC21" s="6">
        <f>12/(1+AC16/(1-EXP(-AC16)))</f>
        <v>2.691122669634618</v>
      </c>
      <c r="AD21" s="48">
        <f>1-EXP(-AC13*AC15)</f>
        <v>0.96442239238522975</v>
      </c>
      <c r="AE21" s="6">
        <v>12</v>
      </c>
      <c r="AF21" s="6">
        <f>AD20-AD21</f>
        <v>3.5577607614770246E-2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27.290231355518202</v>
      </c>
      <c r="X22" s="48" t="s">
        <v>3106</v>
      </c>
      <c r="Y22" s="48"/>
      <c r="Z22" s="48"/>
      <c r="AA22" s="48"/>
      <c r="AB22" s="131" t="s">
        <v>1276</v>
      </c>
      <c r="AC22" s="6">
        <f>12/(1+AC16/(1-EXP(-AC16)))</f>
        <v>2.691122669634618</v>
      </c>
      <c r="AD22" s="48">
        <f>(1-EXP(-AC13*AC15))^2</f>
        <v>0.93011055093405004</v>
      </c>
      <c r="AE22" s="6">
        <v>12</v>
      </c>
      <c r="AF22" s="6">
        <f>AD21-AD22</f>
        <v>3.4311841451179714E-2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2.691122669634618</v>
      </c>
      <c r="AD23" s="48">
        <f>(1-EXP(-AC13*AC15))^3</f>
        <v>0.89701944271456058</v>
      </c>
      <c r="AE23" s="6">
        <v>12</v>
      </c>
      <c r="AF23" s="6">
        <f>AD22-AD23</f>
        <v>3.3091108219489462E-2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2.691122669634618</v>
      </c>
      <c r="AD24" s="48">
        <f>(1-EXP(-AC13*AC15))^4</f>
        <v>0.86510563695884213</v>
      </c>
      <c r="AE24" s="6">
        <v>12</v>
      </c>
      <c r="AF24" s="6">
        <f>AD23-AD24</f>
        <v>3.191380575571845E-2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61.028201539808634</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75.640911518665035</v>
      </c>
      <c r="AD25" s="48">
        <f>(1-EXP(-AC13*AC15))^5</f>
        <v>0.83432724806179459</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42.78001056333617</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76.546869273007431</v>
      </c>
      <c r="AD26" s="48"/>
      <c r="AE26" s="6">
        <f>SUMPRODUCT(AE20:AE25,AF20:AF25)</f>
        <v>1.6187323564938945</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59.794681295500233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339.70221951945962</v>
      </c>
      <c r="AD27" s="48"/>
      <c r="AE27" s="6">
        <f>SUMPRODUCT(AE20:AE25,AF20:AF25,$AG20:$AG25)</f>
        <v>3.9735580583816623</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4.3967649504808639</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24.535594293678095</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18.581213317694594</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12.973484372381897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260.13698644772433</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6.8110792955004964</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2.8470311455192077</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37.162426635389188</v>
      </c>
      <c r="E43" s="21"/>
      <c r="F43" s="21"/>
      <c r="G43" s="21"/>
      <c r="H43" s="21"/>
      <c r="I43" s="21"/>
      <c r="J43" s="789">
        <f>2*hasterate*enMnOHup</f>
        <v>9.7670480259676697</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33.34704423077045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77.558933726482437</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37.052271367522721</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58.856819863103929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21.250567401961558</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2021-06-09T11:28:06Z</dcterms:modified>
</cp:coreProperties>
</file>