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9ECC7A39-09D9-4364-9BEA-9B249219ED37}"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0" i="34" l="1"/>
  <c r="A61" i="4"/>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4" i="70"/>
  <c r="AD64" i="70"/>
  <c r="U66" i="70"/>
  <c r="AC66" i="70" s="1"/>
  <c r="Z65" i="70" l="1"/>
  <c r="AA65" i="70"/>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I54" i="10"/>
  <c r="J43" i="10"/>
  <c r="I71" i="10"/>
  <c r="J71" i="10" s="1"/>
  <c r="J65" i="10"/>
  <c r="M85" i="10"/>
  <c r="J85" i="10"/>
  <c r="L65" i="10"/>
  <c r="L64" i="10"/>
  <c r="J76" i="10"/>
  <c r="M76" i="10"/>
  <c r="J103" i="10"/>
  <c r="M103" i="10"/>
  <c r="M94" i="10"/>
  <c r="J94" i="10"/>
  <c r="L49" i="10" l="1"/>
  <c r="Q39" i="29" s="1"/>
  <c r="Q57" i="29"/>
  <c r="D51" i="10"/>
  <c r="C44" i="10"/>
  <c r="C54" i="10" s="1"/>
  <c r="C47" i="10"/>
  <c r="Q59" i="29"/>
  <c r="D20" i="57"/>
  <c r="D47" i="57"/>
  <c r="H71" i="10"/>
  <c r="D26" i="57"/>
  <c r="D8" i="57"/>
  <c r="E8" i="57" s="1"/>
  <c r="D18" i="57"/>
  <c r="E18" i="57" s="1"/>
  <c r="D50" i="57"/>
  <c r="D10" i="57"/>
  <c r="I60" i="10"/>
  <c r="J60" i="10" s="1"/>
  <c r="J54" i="10"/>
  <c r="K54" i="10"/>
  <c r="K60" i="10" s="1"/>
  <c r="M54" i="10"/>
  <c r="M60" i="10" s="1"/>
  <c r="H49" i="10"/>
  <c r="J49" i="10"/>
  <c r="M65" i="10"/>
  <c r="M71" i="10" s="1"/>
  <c r="L71" i="10"/>
  <c r="Q37" i="29" l="1"/>
  <c r="AV39" i="30"/>
  <c r="Q41" i="29"/>
  <c r="D52" i="57"/>
  <c r="Y17" i="5"/>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J42" i="10"/>
  <c r="I47" i="10"/>
  <c r="H47" i="10" s="1"/>
  <c r="J84" i="10"/>
  <c r="M84" i="10"/>
  <c r="M89" i="10" s="1"/>
  <c r="L107" i="10"/>
  <c r="D48" i="57" s="1"/>
  <c r="E48" i="57" s="1"/>
  <c r="H107" i="10"/>
  <c r="L48" i="10" l="1"/>
  <c r="D25" i="57" s="1"/>
  <c r="W29" i="27"/>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D49" i="57"/>
  <c r="D7" i="57"/>
  <c r="E7" i="57" s="1"/>
  <c r="J53" i="10"/>
  <c r="I58" i="10"/>
  <c r="L47" i="10"/>
  <c r="D9" i="57"/>
  <c r="J47" i="10"/>
  <c r="AF71" i="5"/>
  <c r="Q5" i="29" l="1"/>
  <c r="Q9" i="29"/>
  <c r="Q7" i="29"/>
  <c r="Q34" i="10"/>
  <c r="D54" i="57"/>
  <c r="Q29" i="29"/>
  <c r="AC14" i="29"/>
  <c r="AC13" i="29" s="1"/>
  <c r="Y11" i="5"/>
  <c r="X2" i="29"/>
  <c r="X6" i="29" s="1"/>
  <c r="AF70" i="5"/>
  <c r="Y29" i="27"/>
  <c r="M58" i="10"/>
  <c r="Q19" i="29"/>
  <c r="Q26" i="29"/>
  <c r="J59" i="10"/>
  <c r="Q25" i="29"/>
  <c r="L59" i="10"/>
  <c r="D19" i="57"/>
  <c r="D46" i="57"/>
  <c r="AT39" i="30"/>
  <c r="D37" i="57"/>
  <c r="D40" i="57"/>
  <c r="E62"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2" authorId="0" shapeId="0" xr:uid="{00000000-0006-0000-0100-000001000000}">
      <text>
        <r>
          <rPr>
            <b/>
            <sz val="8"/>
            <color indexed="81"/>
            <rFont val="Tahoma"/>
            <family val="2"/>
          </rPr>
          <t>Author:</t>
        </r>
        <r>
          <rPr>
            <sz val="8"/>
            <color indexed="81"/>
            <rFont val="Tahoma"/>
            <family val="2"/>
          </rPr>
          <t xml:space="preserve">
fixed
a small Mongoose bug</t>
        </r>
      </text>
    </comment>
    <comment ref="A593"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4"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5"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6"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7"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8"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9"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600"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601"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2"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3"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4"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5"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6"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7"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8"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9"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10"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11"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2"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3"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4"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5"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6"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7"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8"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9"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20"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21"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2"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3"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4"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5"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6"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7"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8"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9"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30"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31"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2"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3"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4"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5"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6"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7"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8"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9"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40"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41"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2"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3"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4"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5"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6"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7"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8"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9"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<sst xmlns="http://schemas.openxmlformats.org/spreadsheetml/2006/main" count="8583" uniqueCount="3284">
  <si>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</si>
  <si>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</si>
  <si>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</si>
  <si>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</si>
  <si>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</si>
  <si>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</si>
  <si>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</si>
  <si>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</si>
  <si>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</si>
  <si>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</si>
  <si>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</si>
  <si>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</si>
  <si>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</si>
  <si>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</si>
  <si>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</si>
  <si>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</si>
  <si>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</si>
  <si>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</si>
  <si>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</si>
  <si>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</si>
  <si>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</si>
  <si>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</si>
  <si>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</si>
  <si>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</si>
  <si>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</si>
  <si>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</si>
  <si>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</si>
  <si>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</si>
  <si>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</si>
  <si>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</si>
  <si>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</si>
  <si>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</si>
  <si>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</si>
  <si>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</si>
  <si>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</si>
  <si>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</si>
  <si>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</si>
  <si>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</si>
  <si>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</si>
  <si>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</si>
  <si>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</si>
  <si>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</si>
  <si>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</si>
  <si>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</si>
  <si>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</si>
  <si>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</si>
  <si>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</si>
  <si>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</si>
  <si>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</si>
  <si>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</si>
  <si>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</si>
  <si>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</si>
  <si>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</si>
  <si>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</si>
  <si>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</si>
  <si>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</si>
  <si>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</si>
  <si>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</si>
  <si>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</si>
  <si>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</si>
  <si>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</si>
  <si>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</si>
  <si>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</si>
  <si>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</si>
  <si>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</si>
  <si>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</si>
  <si>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</si>
  <si>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</si>
  <si>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</si>
  <si>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</si>
  <si>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</si>
  <si>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</si>
  <si>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</si>
  <si>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</si>
  <si>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</si>
  <si>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</si>
  <si>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</si>
  <si>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</si>
  <si>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</si>
  <si>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</si>
  <si>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</si>
  <si>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</si>
  <si>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</si>
  <si>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</si>
  <si>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</si>
  <si>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</si>
  <si>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</si>
  <si>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</si>
  <si>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</si>
  <si>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</si>
  <si>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</si>
  <si>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</si>
  <si>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</si>
  <si>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</si>
  <si>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</si>
  <si>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</si>
  <si>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</si>
  <si>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</si>
  <si>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</si>
  <si>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</si>
  <si>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</si>
  <si>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</si>
  <si>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</si>
  <si>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</si>
  <si>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</si>
  <si>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</si>
  <si>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</si>
  <si>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</si>
  <si>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</si>
  <si>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</si>
  <si>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</si>
  <si>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</si>
  <si>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</si>
  <si>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</si>
  <si>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</si>
  <si>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</si>
  <si>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</si>
  <si>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</si>
  <si>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</si>
  <si>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</si>
  <si>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</si>
  <si>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</si>
  <si>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</si>
  <si>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</si>
  <si>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</si>
  <si>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</si>
  <si>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</si>
  <si>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</si>
  <si>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</si>
  <si>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</si>
  <si>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</si>
  <si>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</si>
  <si>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</si>
  <si>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</si>
  <si>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</si>
  <si>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</si>
  <si>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</si>
  <si>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</si>
  <si>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</si>
  <si>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</si>
  <si>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</si>
  <si>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</si>
  <si>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</si>
  <si>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</si>
  <si>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</si>
  <si>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</si>
  <si>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</si>
  <si>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</si>
  <si>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</si>
  <si>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</si>
  <si>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</si>
  <si>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</si>
  <si>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</si>
  <si>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</si>
  <si>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</si>
  <si>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</si>
  <si>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</si>
  <si>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</si>
  <si>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</si>
  <si>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</si>
  <si>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</si>
  <si>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</si>
  <si>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</si>
  <si>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</si>
  <si>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</si>
  <si>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</si>
  <si>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</si>
  <si>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</si>
  <si>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</si>
  <si>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</si>
  <si>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</si>
  <si>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</si>
  <si>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</si>
  <si>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</si>
  <si>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</si>
  <si>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</si>
  <si>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</si>
  <si>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</si>
  <si>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</si>
  <si>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</si>
  <si>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</si>
  <si>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</si>
  <si>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</si>
  <si>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</si>
  <si>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</si>
  <si>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</si>
  <si>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</si>
  <si>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</si>
  <si>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</si>
  <si>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</si>
  <si>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</si>
  <si>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</si>
  <si>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</si>
  <si>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</si>
  <si>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</si>
  <si>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</si>
  <si>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</si>
  <si>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</si>
  <si>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</si>
  <si>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</si>
  <si>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</si>
  <si>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</si>
  <si>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</si>
  <si>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</si>
  <si>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</si>
  <si>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</si>
  <si>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</si>
  <si>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</si>
  <si>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</si>
  <si>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</si>
  <si>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</si>
  <si>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</si>
  <si>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</si>
  <si>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</si>
  <si>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</si>
  <si>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</si>
  <si>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</si>
  <si>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</si>
  <si>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</si>
  <si>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</si>
  <si>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</si>
  <si>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</si>
  <si>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</si>
  <si>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</si>
  <si>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</si>
  <si>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</si>
  <si>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</si>
  <si>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</si>
  <si>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</si>
  <si>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</si>
  <si>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</si>
  <si>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</si>
  <si>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</si>
  <si>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</si>
  <si>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</si>
  <si>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</si>
  <si>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</si>
  <si>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</si>
  <si>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</si>
  <si>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</si>
  <si>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</si>
  <si>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</si>
  <si>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</si>
  <si>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</si>
  <si>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</si>
  <si>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</si>
  <si>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</si>
  <si>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</si>
  <si>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</si>
  <si>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</si>
  <si>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</si>
  <si>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</si>
  <si>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</si>
  <si>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</si>
  <si>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</si>
  <si>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</si>
  <si>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</si>
  <si>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</si>
  <si>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</si>
  <si>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</si>
  <si>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</si>
  <si>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</si>
  <si>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</si>
  <si>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</si>
  <si>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</si>
  <si>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</si>
  <si>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</si>
  <si>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</si>
  <si>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</si>
  <si>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</si>
  <si>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</si>
  <si>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</si>
  <si>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</si>
  <si>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</si>
  <si>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</si>
  <si>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</si>
  <si>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</si>
  <si>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</si>
  <si>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</si>
  <si>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</si>
  <si>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</si>
  <si>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</si>
  <si>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</si>
  <si>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</si>
  <si>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</si>
  <si>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</si>
  <si>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</si>
  <si>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</si>
  <si>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</si>
  <si>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</si>
  <si>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</si>
  <si>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</si>
  <si>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</si>
  <si>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</si>
  <si>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</si>
  <si>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</si>
  <si>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</si>
  <si>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</si>
  <si>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</si>
  <si>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</si>
  <si>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</si>
  <si>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</si>
  <si>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</si>
  <si>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</si>
  <si>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</si>
  <si>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</si>
  <si>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</si>
  <si>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</si>
  <si>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</si>
  <si>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</si>
  <si>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</si>
  <si>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</si>
  <si>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</si>
  <si>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</si>
  <si>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</si>
  <si>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</si>
  <si>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</si>
  <si>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</si>
  <si>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</si>
  <si>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</si>
  <si>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</si>
  <si>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</si>
  <si>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</si>
  <si>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</si>
  <si>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</si>
  <si>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</si>
  <si>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</si>
  <si>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</si>
  <si>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</si>
  <si>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</si>
  <si>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</si>
  <si>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</si>
  <si>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</si>
  <si>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</si>
  <si>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</si>
  <si>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</si>
  <si>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</si>
  <si>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</si>
  <si>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</si>
  <si>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</si>
  <si>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</si>
  <si>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</si>
  <si>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</si>
  <si>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</si>
  <si>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</si>
  <si>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</si>
  <si>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</si>
  <si>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</si>
  <si>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</si>
  <si>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</si>
  <si>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</si>
  <si>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</si>
  <si>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</si>
  <si>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</si>
  <si>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</si>
  <si>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</si>
  <si>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</si>
  <si>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</si>
  <si>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</si>
  <si>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</si>
  <si>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</si>
  <si>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</si>
  <si>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</si>
  <si>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</si>
  <si>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</si>
  <si>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</si>
  <si>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</si>
  <si>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</si>
  <si>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</si>
  <si>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</si>
  <si>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</si>
  <si>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</si>
  <si>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</si>
  <si>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</si>
  <si>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</si>
  <si>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</si>
  <si>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</si>
  <si>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</si>
  <si>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</si>
  <si>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</si>
  <si>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</si>
  <si>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</si>
  <si>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</si>
  <si>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</si>
  <si>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</si>
  <si>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</si>
  <si>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</si>
  <si>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</si>
  <si>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</si>
  <si>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</si>
  <si>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</si>
  <si>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</si>
  <si>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</si>
  <si>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</si>
  <si>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</si>
  <si>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</si>
  <si>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</si>
  <si>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</si>
  <si>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</si>
  <si>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</si>
  <si>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</si>
  <si>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</si>
  <si>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</si>
  <si>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</si>
  <si>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</si>
  <si>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</si>
  <si>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</si>
  <si>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</si>
  <si>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</si>
  <si>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</si>
  <si>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</si>
  <si>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</si>
  <si>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</si>
  <si>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</si>
  <si>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</si>
  <si>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</si>
  <si>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</si>
  <si>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</si>
  <si>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</si>
  <si>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</si>
  <si>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</si>
  <si>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</si>
  <si>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</si>
  <si>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</si>
  <si>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</si>
  <si>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</si>
  <si>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</si>
  <si>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</si>
  <si>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</si>
  <si>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</si>
  <si>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</si>
  <si>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</si>
  <si>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</si>
  <si>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</si>
  <si>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</si>
  <si>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</si>
  <si>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</si>
  <si>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</si>
  <si>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</si>
  <si>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</si>
  <si>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</si>
  <si>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</si>
  <si>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</si>
  <si>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</si>
  <si>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</si>
  <si>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</si>
  <si>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</si>
  <si>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</si>
  <si>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</si>
  <si>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</si>
  <si>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</si>
  <si>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</si>
  <si>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</si>
  <si>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</si>
  <si>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</si>
  <si>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</si>
  <si>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</si>
  <si>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</si>
  <si>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</si>
  <si>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</si>
  <si>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</si>
  <si>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</si>
  <si>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</si>
  <si>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</si>
  <si>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</si>
  <si>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</si>
  <si>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</si>
  <si>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</si>
  <si>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</si>
  <si>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</si>
  <si>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</si>
  <si>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</si>
  <si>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</si>
  <si>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</si>
  <si>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</si>
  <si>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</si>
  <si>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</si>
  <si>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</si>
  <si>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</si>
  <si>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</si>
  <si>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</si>
  <si>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</si>
  <si>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</si>
  <si>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</si>
  <si>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</si>
  <si>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</si>
  <si>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</si>
  <si>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</si>
  <si>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</si>
  <si>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</si>
  <si>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</si>
  <si>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</si>
  <si>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</si>
  <si>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</si>
  <si>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</si>
  <si>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</si>
  <si>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</si>
  <si>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</si>
  <si>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</si>
  <si>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</si>
  <si>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</si>
  <si>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</si>
  <si>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</si>
  <si>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</si>
  <si>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</si>
  <si>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</si>
  <si>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</si>
  <si>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</si>
  <si>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</si>
  <si>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</si>
  <si>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</si>
  <si>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</si>
  <si>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</si>
  <si>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</si>
  <si>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</si>
  <si>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</si>
  <si>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</si>
  <si>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</si>
  <si>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</si>
  <si>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</si>
  <si>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</si>
  <si>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</si>
  <si>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</si>
  <si>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</si>
  <si>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</si>
  <si>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</si>
  <si>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</si>
  <si>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</si>
  <si>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</si>
  <si>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</si>
  <si>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</si>
  <si>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</si>
  <si>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</si>
  <si>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</si>
  <si>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</si>
  <si>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</si>
  <si>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</si>
  <si>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</si>
  <si>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</si>
  <si>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</si>
  <si>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</si>
  <si>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</si>
  <si>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</si>
  <si>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</si>
  <si>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</si>
  <si>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</si>
  <si>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</si>
  <si>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</si>
  <si>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</si>
  <si>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</si>
  <si>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</si>
  <si>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</si>
  <si>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</si>
  <si>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</si>
  <si>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</si>
  <si>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</si>
  <si>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</si>
  <si>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</si>
  <si>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</si>
  <si>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</si>
  <si>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</si>
  <si>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</si>
  <si>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</si>
  <si>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</si>
  <si>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</si>
  <si>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</si>
  <si>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</si>
  <si>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</si>
  <si>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</si>
  <si>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</si>
  <si>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</si>
  <si>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</si>
  <si>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</si>
  <si>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</si>
  <si>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</si>
  <si>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</si>
  <si>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</si>
  <si>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</si>
  <si>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</si>
  <si>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</si>
  <si>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</si>
  <si>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</si>
  <si>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</si>
  <si>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</si>
  <si>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</si>
  <si>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</si>
  <si>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</si>
  <si>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</si>
  <si>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</si>
  <si>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</si>
  <si>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</si>
  <si>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</si>
  <si>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</si>
  <si>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</si>
  <si>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</si>
  <si>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</si>
  <si>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</si>
  <si>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</si>
  <si>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</si>
  <si>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</si>
  <si>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</si>
  <si>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</si>
  <si>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</si>
  <si>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</si>
  <si>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</si>
  <si>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</si>
  <si>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</si>
  <si>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</si>
  <si>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</si>
  <si>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</si>
  <si>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</si>
  <si>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</si>
  <si>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</si>
  <si>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</si>
  <si>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</si>
  <si>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</si>
  <si>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</si>
  <si>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</si>
  <si>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</si>
  <si>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</si>
  <si>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</si>
  <si>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</si>
  <si>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</si>
  <si>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</si>
  <si>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</si>
  <si>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</si>
  <si>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</si>
  <si>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</si>
  <si>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</si>
  <si>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</si>
  <si>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</si>
  <si>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</si>
  <si>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</si>
  <si>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</si>
  <si>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</si>
  <si>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</si>
  <si>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</si>
  <si>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</si>
  <si>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</si>
  <si>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</si>
  <si>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</si>
  <si>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</si>
  <si>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</si>
  <si>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</si>
  <si>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</si>
  <si>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</si>
  <si>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</si>
  <si>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</si>
  <si>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</si>
  <si>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</si>
  <si>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</si>
  <si>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</si>
  <si>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</si>
  <si>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</si>
  <si>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</si>
  <si>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</si>
  <si>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</si>
  <si>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</si>
  <si>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</si>
  <si>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</si>
  <si>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</si>
  <si>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</si>
  <si>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</si>
  <si>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</si>
  <si>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</si>
  <si>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</si>
  <si>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</si>
  <si>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</si>
  <si>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</si>
  <si>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</si>
  <si>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</si>
  <si>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</si>
  <si>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</si>
  <si>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</si>
  <si>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</si>
  <si>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</si>
  <si>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</si>
  <si>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</si>
  <si>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</si>
  <si>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</si>
  <si>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</si>
  <si>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</si>
  <si>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</si>
  <si>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</si>
  <si>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</si>
  <si>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</si>
  <si>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</si>
  <si>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</si>
  <si>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</si>
  <si>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</si>
  <si>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</si>
  <si>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</si>
  <si>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</si>
  <si>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</si>
  <si>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</si>
  <si>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</si>
  <si>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</si>
  <si>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</si>
  <si>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</si>
  <si>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</si>
  <si>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</si>
  <si>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</si>
  <si>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</si>
  <si>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</si>
  <si>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</si>
  <si>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</si>
  <si>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</si>
  <si>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</si>
  <si>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</si>
  <si>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</si>
  <si>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</si>
  <si>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</si>
  <si>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</si>
  <si>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</si>
  <si>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</si>
  <si>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</si>
  <si>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</si>
  <si>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</si>
  <si>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</si>
  <si>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</si>
  <si>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</si>
  <si>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</si>
  <si>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</si>
  <si>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</si>
  <si>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</si>
  <si>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</si>
  <si>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</si>
  <si>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</si>
  <si>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</si>
  <si>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</si>
  <si>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</si>
  <si>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</si>
  <si>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</si>
  <si>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</si>
  <si>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</si>
  <si>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</si>
  <si>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</si>
  <si>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</si>
  <si>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</si>
  <si>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</si>
  <si>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</si>
  <si>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</si>
  <si>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</si>
  <si>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</si>
  <si>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</si>
  <si>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</si>
  <si>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</si>
  <si>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</si>
  <si>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</si>
  <si>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</si>
  <si>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</si>
  <si>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</si>
  <si>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</si>
  <si>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</si>
  <si>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</si>
  <si>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</si>
  <si>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</si>
  <si>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</si>
  <si>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</si>
  <si>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</si>
  <si>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</si>
  <si>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</si>
  <si>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</si>
  <si>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</si>
  <si>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</si>
  <si>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</si>
  <si>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</si>
  <si>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</si>
  <si>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</si>
  <si>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</si>
  <si>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</si>
  <si>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</si>
  <si>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</si>
  <si>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</si>
  <si>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</si>
  <si>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</si>
  <si>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</si>
  <si>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</si>
  <si>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</si>
  <si>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</si>
  <si>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</si>
  <si>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</si>
  <si>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</si>
  <si>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</si>
  <si>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</si>
  <si>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</si>
  <si>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</si>
  <si>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</si>
  <si>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</si>
  <si>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</si>
  <si>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</si>
  <si>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</si>
  <si>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</si>
  <si>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</si>
  <si>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</si>
  <si>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</si>
  <si>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</si>
  <si>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</si>
  <si>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</si>
  <si>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</si>
  <si>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</si>
  <si>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</si>
  <si>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</si>
  <si>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</si>
  <si>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</si>
  <si>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</si>
  <si>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</si>
  <si>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</si>
  <si>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</si>
  <si>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</si>
  <si>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</si>
  <si>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</si>
  <si>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</si>
  <si>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</si>
  <si>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</si>
  <si>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</si>
  <si>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</si>
  <si>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</si>
  <si>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</si>
  <si>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</si>
  <si>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</si>
  <si>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</si>
  <si>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</si>
  <si>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</si>
  <si>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</si>
  <si>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</si>
  <si>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</si>
  <si>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</si>
  <si>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</si>
  <si>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</si>
  <si>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</si>
  <si>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</si>
  <si>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</si>
  <si>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</si>
  <si>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</si>
  <si>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</si>
  <si>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</si>
  <si>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</si>
  <si>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</si>
  <si>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</si>
  <si>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</si>
  <si>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</si>
  <si>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</si>
  <si>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</si>
  <si>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</si>
  <si>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</si>
  <si>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</si>
  <si>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</si>
  <si>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</si>
  <si>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</si>
  <si>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</si>
  <si>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</si>
  <si>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</si>
  <si>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</si>
  <si>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</si>
  <si>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</si>
  <si>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</si>
  <si>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</si>
  <si>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</si>
  <si>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</si>
  <si>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</si>
  <si>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</si>
  <si>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</si>
  <si>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</si>
  <si>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</si>
  <si>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</si>
  <si>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</si>
  <si>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</si>
  <si>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</si>
  <si>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</si>
  <si>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</si>
  <si>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</si>
  <si>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</si>
  <si>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</si>
  <si>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</si>
  <si>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</si>
  <si>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</si>
  <si>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</si>
  <si>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</si>
  <si>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</si>
  <si>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</si>
  <si>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</si>
  <si>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</si>
  <si>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</si>
  <si>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</si>
  <si>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</si>
  <si>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</si>
  <si>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</si>
  <si>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</si>
  <si>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</si>
  <si>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</si>
  <si>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</si>
  <si>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</si>
  <si>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</si>
  <si>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</si>
  <si>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</si>
  <si>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</si>
  <si>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</si>
  <si>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</si>
  <si>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</si>
  <si>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</si>
  <si>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</si>
  <si>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</si>
  <si>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</si>
  <si>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</si>
  <si>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</si>
  <si>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</si>
  <si>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</si>
  <si>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</si>
  <si>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</si>
  <si>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</si>
  <si>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</si>
  <si>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</si>
  <si>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</si>
  <si>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</si>
  <si>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</si>
  <si>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</si>
  <si>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</si>
  <si>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</si>
  <si>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</si>
  <si>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</si>
  <si>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</si>
  <si>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</si>
  <si>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</si>
  <si>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</si>
  <si>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</si>
  <si>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</si>
  <si>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</si>
  <si>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</si>
  <si>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</si>
  <si>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</si>
  <si>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</si>
  <si>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</si>
  <si>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</si>
  <si>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</si>
  <si>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</si>
  <si>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</si>
  <si>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</si>
  <si>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</si>
  <si>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</si>
  <si>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</si>
  <si>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</si>
  <si>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</si>
  <si>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</si>
  <si>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</si>
  <si>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</si>
  <si>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</si>
  <si>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</si>
  <si>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</si>
  <si>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</si>
  <si>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</si>
  <si>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</si>
  <si>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</si>
  <si>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</si>
  <si>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</si>
  <si>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</si>
  <si>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</si>
  <si>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</si>
  <si>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</si>
  <si>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</si>
  <si>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</si>
  <si>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</si>
  <si>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</si>
  <si>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</si>
  <si>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</si>
  <si>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</si>
  <si>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</si>
  <si>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</si>
  <si>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</si>
  <si>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</si>
  <si>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</si>
  <si>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</si>
  <si>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</si>
  <si>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</si>
  <si>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</si>
  <si>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</si>
  <si>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</si>
  <si>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</si>
  <si>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</si>
  <si>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</si>
  <si>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</si>
  <si>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</si>
  <si>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</si>
  <si>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</si>
  <si>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</si>
  <si>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</si>
  <si>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</si>
  <si>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</si>
  <si>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</si>
  <si>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</si>
  <si>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</si>
  <si>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</si>
  <si>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</si>
  <si>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</si>
  <si>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</si>
  <si>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</si>
  <si>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</si>
  <si>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</si>
  <si>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</si>
  <si>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</si>
  <si>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</si>
  <si>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</si>
  <si>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</si>
  <si>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</si>
  <si>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</si>
  <si>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</si>
  <si>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</si>
  <si>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</si>
  <si>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</si>
  <si>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</si>
  <si>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</si>
  <si>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</si>
  <si>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</si>
  <si>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</si>
  <si>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</si>
  <si>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</si>
  <si>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</si>
  <si>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</si>
  <si>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</si>
  <si>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</si>
  <si>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</si>
  <si>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</si>
  <si>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</si>
  <si>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</si>
  <si>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</si>
  <si>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</si>
  <si>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</si>
  <si>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</si>
  <si>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</si>
  <si>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</si>
  <si>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</si>
  <si>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</si>
  <si>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</si>
  <si>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</si>
  <si>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</si>
  <si>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</si>
  <si>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</si>
  <si>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</si>
  <si>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</si>
  <si>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</si>
  <si>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</si>
  <si>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</si>
  <si>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</si>
  <si>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</si>
  <si>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</si>
  <si>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</si>
  <si>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</si>
  <si>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</si>
  <si>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</si>
  <si>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</si>
  <si>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</si>
  <si>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</si>
  <si>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</si>
  <si>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</si>
  <si>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</si>
  <si>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</si>
  <si>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</si>
  <si>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</si>
  <si>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</si>
  <si>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</si>
  <si>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</si>
  <si>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</si>
  <si>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</si>
  <si>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</si>
  <si>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</si>
  <si>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</si>
  <si>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</si>
  <si>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</si>
  <si>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</si>
  <si>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</si>
  <si>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</si>
  <si>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</si>
  <si>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</si>
  <si>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</si>
  <si>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</si>
  <si>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</si>
  <si>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</si>
  <si>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</si>
  <si>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</si>
  <si>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</si>
  <si>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</si>
  <si>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</si>
  <si>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</si>
  <si>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</si>
  <si>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</si>
  <si>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</si>
  <si>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</si>
  <si>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</si>
  <si>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</si>
  <si>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</si>
  <si>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</si>
  <si>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</si>
  <si>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</si>
  <si>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</si>
  <si>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</si>
  <si>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</si>
  <si>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</si>
  <si>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</si>
  <si>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</si>
  <si>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</si>
  <si>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</si>
  <si>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</si>
  <si>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</si>
  <si>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</si>
  <si>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</si>
  <si>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</si>
  <si>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</si>
  <si>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</si>
  <si>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</si>
  <si>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</si>
  <si>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</si>
  <si>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</si>
  <si>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</si>
  <si>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</si>
  <si>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</si>
  <si>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</si>
  <si>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</si>
  <si>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</si>
  <si>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</si>
  <si>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</si>
  <si>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</si>
  <si>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</si>
  <si>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</si>
  <si>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</si>
  <si>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</si>
  <si>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</si>
  <si>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</si>
  <si>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</si>
  <si>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</si>
  <si>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</si>
  <si>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</si>
  <si>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</si>
  <si>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</si>
  <si>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</si>
  <si>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</si>
  <si>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</si>
  <si>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</si>
  <si>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</si>
  <si>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</si>
  <si>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</si>
  <si>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</si>
  <si>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</si>
  <si>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</si>
  <si>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</si>
  <si>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</si>
  <si>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</si>
  <si>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</si>
  <si>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</si>
  <si>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</si>
  <si>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</si>
  <si>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</si>
  <si>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</si>
  <si>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</si>
  <si>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</si>
  <si>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</si>
  <si>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</si>
  <si>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</si>
  <si>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</si>
  <si>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</si>
  <si>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</si>
  <si>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</si>
  <si>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</si>
  <si>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</si>
  <si>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</si>
  <si>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</si>
  <si>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</si>
  <si>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</si>
  <si>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</si>
  <si>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</si>
  <si>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</si>
  <si>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</si>
  <si>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</si>
  <si>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</si>
  <si>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</si>
  <si>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</si>
  <si>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</si>
  <si>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</si>
  <si>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</si>
  <si>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</si>
  <si>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</si>
  <si>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</si>
  <si>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</si>
  <si>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</si>
  <si>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</si>
  <si>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</si>
  <si>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</si>
  <si>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</si>
  <si>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</si>
  <si>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</si>
  <si>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</si>
  <si>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</si>
  <si>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</si>
  <si>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</si>
  <si>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</si>
  <si>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</si>
  <si>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</si>
  <si>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</si>
  <si>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</si>
  <si>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</si>
  <si>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</si>
  <si>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</si>
  <si>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</si>
  <si>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</si>
  <si>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</si>
  <si>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</si>
  <si>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</si>
  <si>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</si>
  <si>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</si>
  <si>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</si>
  <si>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</si>
  <si>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</si>
  <si>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</si>
  <si>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</si>
  <si>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</si>
  <si>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</si>
  <si>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</si>
  <si>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</si>
  <si>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</si>
  <si>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</si>
  <si>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</si>
  <si>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</si>
  <si>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</si>
  <si>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</si>
  <si>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</si>
  <si>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</si>
  <si>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</si>
  <si>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</si>
  <si>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</si>
  <si>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</si>
  <si>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</si>
  <si>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</si>
  <si>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</si>
  <si>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</si>
  <si>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</si>
  <si>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</si>
  <si>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</si>
  <si>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</si>
  <si>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</si>
  <si>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</si>
  <si>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</si>
  <si>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</si>
  <si>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</si>
  <si>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</si>
  <si>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</si>
  <si>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</si>
  <si>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</si>
  <si>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</si>
  <si>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</si>
  <si>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</si>
  <si>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</si>
  <si>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</si>
  <si>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</si>
  <si>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</si>
  <si>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</si>
  <si>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</si>
  <si>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</si>
  <si>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</si>
  <si>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</si>
  <si>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</si>
  <si>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</si>
  <si>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</si>
  <si>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</si>
  <si>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</si>
  <si>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</si>
  <si>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</si>
  <si>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</si>
  <si>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</si>
  <si>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</si>
  <si>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</si>
  <si>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</si>
  <si>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</si>
  <si>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</si>
  <si>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</si>
  <si>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</si>
  <si>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</si>
  <si>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</si>
  <si>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</si>
  <si>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</si>
  <si>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</si>
  <si>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</si>
  <si>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</si>
  <si>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</si>
  <si>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</si>
  <si>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</si>
  <si>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</si>
  <si>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</si>
  <si>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</si>
  <si>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</si>
  <si>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</si>
  <si>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</si>
  <si>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</si>
  <si>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</si>
  <si>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</si>
  <si>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</si>
  <si>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</si>
  <si>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</si>
  <si>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</si>
  <si>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</si>
  <si>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</si>
  <si>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</si>
  <si>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</si>
  <si>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</si>
  <si>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</si>
  <si>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</si>
  <si>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</si>
  <si>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</si>
  <si>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</si>
  <si>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</si>
  <si>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</si>
  <si>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</si>
  <si>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</si>
  <si>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</si>
  <si>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</si>
  <si>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</si>
  <si>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</si>
  <si>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</si>
  <si>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</si>
  <si>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</si>
  <si>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</si>
  <si>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</si>
  <si>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</si>
  <si>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</si>
  <si>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</si>
  <si>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</si>
  <si>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</si>
  <si>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</si>
  <si>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</si>
  <si>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</si>
  <si>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</si>
  <si>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</si>
  <si>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</si>
  <si>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</si>
  <si>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</si>
  <si>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</si>
  <si>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</si>
  <si>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</si>
  <si>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</si>
  <si>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</si>
  <si>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</si>
  <si>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</si>
  <si>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</si>
  <si>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</si>
  <si>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</si>
  <si>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</si>
  <si>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</si>
  <si>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</si>
  <si>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</si>
  <si>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</si>
  <si>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</si>
  <si>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</si>
  <si>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</si>
  <si>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</si>
  <si>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</si>
  <si>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</si>
  <si>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</si>
  <si>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</si>
  <si>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</si>
  <si>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</si>
  <si>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</si>
  <si>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</si>
  <si>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</si>
  <si>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</si>
  <si>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</si>
  <si>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</si>
  <si>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</si>
  <si>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</si>
  <si>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</si>
  <si>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</si>
  <si>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</si>
  <si>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</si>
  <si>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</si>
  <si>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</si>
  <si>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</si>
  <si>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</si>
  <si>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</si>
  <si>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</si>
  <si>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</si>
  <si>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</si>
  <si>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</si>
  <si>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</si>
  <si>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</si>
  <si>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</si>
  <si>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</si>
  <si>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</si>
  <si>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</si>
  <si>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</si>
  <si>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</si>
  <si>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</si>
  <si>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</si>
  <si>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</si>
  <si>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</si>
  <si>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</si>
  <si>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</si>
  <si>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</si>
  <si>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</si>
  <si>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</si>
  <si>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</si>
  <si>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</si>
  <si>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</si>
  <si>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</si>
  <si>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</si>
  <si>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</si>
  <si>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</si>
  <si>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</si>
  <si>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</si>
  <si>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</si>
  <si>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</si>
  <si>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</si>
  <si>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</si>
  <si>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</si>
  <si>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</si>
  <si>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</si>
  <si>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</si>
  <si>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</si>
  <si>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</si>
  <si>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</si>
  <si>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</si>
  <si>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</si>
  <si>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</si>
  <si>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</si>
  <si>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</si>
  <si>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</si>
  <si>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</si>
  <si>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</si>
  <si>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</si>
  <si>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</si>
  <si>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</si>
  <si>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</si>
  <si>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</si>
  <si>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</si>
  <si>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</si>
  <si>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</si>
  <si>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</si>
  <si>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</si>
  <si>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</si>
  <si>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</si>
  <si>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</si>
  <si>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</si>
  <si>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</si>
  <si>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</si>
  <si>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</si>
  <si>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</si>
  <si>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</si>
  <si>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</si>
  <si>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</si>
  <si>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</si>
  <si>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</si>
  <si>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</si>
  <si>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</si>
  <si>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</si>
  <si>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</si>
  <si>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</si>
  <si>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</si>
  <si>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</si>
  <si>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</si>
  <si>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</si>
  <si>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</si>
  <si>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</si>
  <si>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</si>
  <si>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</si>
  <si>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</si>
  <si>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</si>
  <si>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</si>
  <si>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</si>
  <si>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</si>
  <si>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</si>
  <si>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</si>
  <si>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</si>
  <si>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</si>
  <si>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</si>
  <si>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</si>
  <si>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</si>
  <si>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</si>
  <si>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</si>
  <si>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</si>
  <si>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</si>
  <si>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</si>
  <si>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</si>
  <si>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</si>
  <si>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</si>
  <si>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</si>
  <si>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</si>
  <si>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</si>
  <si>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</si>
  <si>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</si>
  <si>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</si>
  <si>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</si>
  <si>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</si>
  <si>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</si>
  <si>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</si>
  <si>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</si>
  <si>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</si>
  <si>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</si>
  <si>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</si>
  <si>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</si>
  <si>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</si>
  <si>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</si>
  <si>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</si>
  <si>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</si>
  <si>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</si>
  <si>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</si>
  <si>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</si>
  <si>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</si>
  <si>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</si>
  <si>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</si>
  <si>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</si>
  <si>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</si>
  <si>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</si>
  <si>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</si>
  <si>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</si>
  <si>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</si>
  <si>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</si>
  <si>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</si>
  <si>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</si>
  <si>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</si>
  <si>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</si>
  <si>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</si>
  <si>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</si>
  <si>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</si>
  <si>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</si>
  <si>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</si>
  <si>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</si>
  <si>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</si>
  <si>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</si>
  <si>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</si>
  <si>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</si>
  <si>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</si>
  <si>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</si>
  <si>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</si>
  <si>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</si>
  <si>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</si>
  <si>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</si>
  <si>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</si>
  <si>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</si>
  <si>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</si>
  <si>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</si>
  <si>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</si>
  <si>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</si>
  <si>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</si>
  <si>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</si>
  <si>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</si>
  <si>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</si>
  <si>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</si>
  <si>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</si>
  <si>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</si>
  <si>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</si>
  <si>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</si>
  <si>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</si>
  <si>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</si>
  <si>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</si>
  <si>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</si>
  <si>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</si>
  <si>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</si>
  <si>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</si>
  <si>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</si>
  <si>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</si>
  <si>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</si>
  <si>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</si>
  <si>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</si>
  <si>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</si>
  <si>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</si>
  <si>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</si>
  <si>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</si>
  <si>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</si>
  <si>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</si>
  <si>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</si>
  <si>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</si>
  <si>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</si>
  <si>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</si>
  <si>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</si>
  <si>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</si>
  <si>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</si>
  <si>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</si>
  <si>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</si>
  <si>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</si>
  <si>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</si>
  <si>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</si>
  <si>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</si>
  <si>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</si>
  <si>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</si>
  <si>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</si>
  <si>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</si>
  <si>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</si>
  <si>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</si>
  <si>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</si>
  <si>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</si>
  <si>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</si>
  <si>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</si>
  <si>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</si>
  <si>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</si>
  <si>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</si>
  <si>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</si>
  <si>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</si>
  <si>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</si>
  <si>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</si>
  <si>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</si>
  <si>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</si>
  <si>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</si>
  <si>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</si>
  <si>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</si>
  <si>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</si>
  <si>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</si>
  <si>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</si>
  <si>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</si>
  <si>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</si>
  <si>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</si>
  <si>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</si>
  <si>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</si>
  <si>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</si>
  <si>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</si>
  <si>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</si>
  <si>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</si>
  <si>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</si>
  <si>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</si>
  <si>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</si>
  <si>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</si>
  <si>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</si>
  <si>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</si>
  <si>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</si>
  <si>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</si>
  <si>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</si>
  <si>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</si>
  <si>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</si>
  <si>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</si>
  <si>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</si>
  <si>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</si>
  <si>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</si>
  <si>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</si>
  <si>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</si>
  <si>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</si>
  <si>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</si>
  <si>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</si>
  <si>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</si>
  <si>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</si>
  <si>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</si>
  <si>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</si>
  <si>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</si>
  <si>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</si>
  <si>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</si>
  <si>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</si>
  <si>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</si>
  <si>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</si>
  <si>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</si>
  <si>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</si>
  <si>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</si>
  <si>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</si>
  <si>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</si>
  <si>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</si>
  <si>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</si>
  <si>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</si>
  <si>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</si>
  <si>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</si>
  <si>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</si>
  <si>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</si>
  <si>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</si>
  <si>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</si>
  <si>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</si>
  <si>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</si>
  <si>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</si>
  <si>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</si>
  <si>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</si>
  <si>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</si>
  <si>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</si>
  <si>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</si>
  <si>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</si>
  <si>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</si>
  <si>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</si>
  <si>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</si>
  <si>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</si>
  <si>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</si>
  <si>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</si>
  <si>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</si>
  <si>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</si>
  <si>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</si>
  <si>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</si>
  <si>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</si>
  <si>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</si>
  <si>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</si>
  <si>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</si>
  <si>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</si>
  <si>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</si>
  <si>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</si>
  <si>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</si>
  <si>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</si>
  <si>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</si>
  <si>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</si>
  <si>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</si>
  <si>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</si>
  <si>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</si>
  <si>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</si>
  <si>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</si>
  <si>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</si>
  <si>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</si>
  <si>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</si>
  <si>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</si>
  <si>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</si>
  <si>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</si>
  <si>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</si>
  <si>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</si>
  <si>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</si>
  <si>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</si>
  <si>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</si>
  <si>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</si>
  <si>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</si>
  <si>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</si>
  <si>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</si>
  <si>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</si>
  <si>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</si>
  <si>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</si>
  <si>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</si>
  <si>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</si>
  <si>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</si>
  <si>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</si>
  <si>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</si>
  <si>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</si>
  <si>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</si>
  <si>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</si>
  <si>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</si>
  <si>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</si>
  <si>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</si>
  <si>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</si>
  <si>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</si>
  <si>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</si>
  <si>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</si>
  <si>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</si>
  <si>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</si>
  <si>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</si>
  <si>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</si>
  <si>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</si>
  <si>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</si>
  <si>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</si>
  <si>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</si>
  <si>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</si>
  <si>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</si>
  <si>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</si>
  <si>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</si>
  <si>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</si>
  <si>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</si>
  <si>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</si>
  <si>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</si>
  <si>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</si>
  <si>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</si>
  <si>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</si>
  <si>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</si>
  <si>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</si>
  <si>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</si>
  <si>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</si>
  <si>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</si>
  <si>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</si>
  <si>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</si>
  <si>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</si>
  <si>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</si>
  <si>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</si>
  <si>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</si>
  <si>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</si>
  <si>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</si>
  <si>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</si>
  <si>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</si>
  <si>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</si>
  <si>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</si>
  <si>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</si>
  <si>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</si>
  <si>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</si>
  <si>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</si>
  <si>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</si>
  <si>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</si>
  <si>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</si>
  <si>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</si>
  <si>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</si>
  <si>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</si>
  <si>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</si>
  <si>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</si>
  <si>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</si>
  <si>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</si>
  <si>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</si>
  <si>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</si>
  <si>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</si>
  <si>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</si>
  <si>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</si>
  <si>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</si>
  <si>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</si>
  <si>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</si>
  <si>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</si>
  <si>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</si>
  <si>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</si>
  <si>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</si>
  <si>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</si>
  <si>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</si>
  <si>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</si>
  <si>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</si>
  <si>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</si>
  <si>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</si>
  <si>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</si>
  <si>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</si>
  <si>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</si>
  <si>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</si>
  <si>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</si>
  <si>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</si>
  <si>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</si>
  <si>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</si>
  <si>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</si>
  <si>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</si>
  <si>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</si>
  <si>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</si>
  <si>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</si>
  <si>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</si>
  <si>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</si>
  <si>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</si>
  <si>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</si>
  <si>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</si>
  <si>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</si>
  <si>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</si>
  <si>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</si>
  <si>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</si>
  <si>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</si>
  <si>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</si>
  <si>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</si>
  <si>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</si>
  <si>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</si>
  <si>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</si>
  <si>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</si>
  <si>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</si>
  <si>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</si>
  <si>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</si>
  <si>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</si>
  <si>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</si>
  <si>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</si>
  <si>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</si>
  <si>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</si>
  <si>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</si>
  <si>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</si>
  <si>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</si>
  <si>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</si>
  <si>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</si>
  <si>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</si>
  <si>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</si>
  <si>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</si>
  <si>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</si>
  <si>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</si>
  <si>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</si>
  <si>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</si>
  <si>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</si>
  <si>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</si>
  <si>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</si>
  <si>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</si>
  <si>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</si>
  <si>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</si>
  <si>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</si>
  <si>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</si>
  <si>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</si>
  <si>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</si>
  <si>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</si>
  <si>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</si>
  <si>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</si>
  <si>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</si>
  <si>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</si>
  <si>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</si>
  <si>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</si>
  <si>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</si>
  <si>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</si>
  <si>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</si>
  <si>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</si>
  <si>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</si>
  <si>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</si>
  <si>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</si>
  <si>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</si>
  <si>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</si>
  <si>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</si>
  <si>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</si>
  <si>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</si>
  <si>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</si>
  <si>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</si>
  <si>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</si>
  <si>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</si>
  <si>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</si>
  <si>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</si>
  <si>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</si>
  <si>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</si>
  <si>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</si>
  <si>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</si>
  <si>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</si>
  <si>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</si>
  <si>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</si>
  <si>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</si>
  <si>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</si>
  <si>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</si>
  <si>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</si>
  <si>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</si>
  <si>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</si>
  <si>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</si>
  <si>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</si>
  <si>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</si>
  <si>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</si>
  <si>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</si>
  <si>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</si>
  <si>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</si>
  <si>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</si>
  <si>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</si>
  <si>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</si>
  <si>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</si>
  <si>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</si>
  <si>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</si>
  <si>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</si>
  <si>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</si>
  <si>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</si>
  <si>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</si>
  <si>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</si>
  <si>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</si>
  <si>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</si>
  <si>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</si>
  <si>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</si>
  <si>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</si>
  <si>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</si>
  <si>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</si>
  <si>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</si>
  <si>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</si>
  <si>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</si>
  <si>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</si>
  <si>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</si>
  <si>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</si>
  <si>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</si>
  <si>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</si>
  <si>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</si>
  <si>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</si>
  <si>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</si>
  <si>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</si>
  <si>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</si>
  <si>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</si>
  <si>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</si>
  <si>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</si>
  <si>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</si>
  <si>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</si>
  <si>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</si>
  <si>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</si>
  <si>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</si>
  <si>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</si>
  <si>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</si>
  <si>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</si>
  <si>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</si>
  <si>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</si>
  <si>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</si>
  <si>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</si>
  <si>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</si>
  <si>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</si>
  <si>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</si>
  <si>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</si>
  <si>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</si>
  <si>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</si>
  <si>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</si>
  <si>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</si>
  <si>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</si>
  <si>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</si>
  <si>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</si>
  <si>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</si>
  <si>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</si>
  <si>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</si>
  <si>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</si>
  <si>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</si>
  <si>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</si>
  <si>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</si>
  <si>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</si>
  <si>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</si>
  <si>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</si>
  <si>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</si>
  <si>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</si>
  <si>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</si>
  <si>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</si>
  <si>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</si>
  <si>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</si>
  <si>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</si>
  <si>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</si>
  <si>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</si>
  <si>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</si>
  <si>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</si>
  <si>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</si>
  <si>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</si>
  <si>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</si>
  <si>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</si>
  <si>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</si>
  <si>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</si>
  <si>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</si>
  <si>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</si>
  <si>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</si>
  <si>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</si>
  <si>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</si>
  <si>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</si>
  <si>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</si>
  <si>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</si>
  <si>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</si>
  <si>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</si>
  <si>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</si>
  <si>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</si>
  <si>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</si>
  <si>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</si>
  <si>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</si>
  <si>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</si>
  <si>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</si>
  <si>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</si>
  <si>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</si>
  <si>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</si>
  <si>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</si>
  <si>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</si>
  <si>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</si>
  <si>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</si>
  <si>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</si>
  <si>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</si>
  <si>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</si>
  <si>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</si>
  <si>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</si>
  <si>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</si>
  <si>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</si>
  <si>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</si>
  <si>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</si>
  <si>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</si>
  <si>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</si>
  <si>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</si>
  <si>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</si>
  <si>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</si>
  <si>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</si>
  <si>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</si>
  <si>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</si>
  <si>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</si>
  <si>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</si>
  <si>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</si>
  <si>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</si>
  <si>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</si>
  <si>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</si>
  <si>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</si>
  <si>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</si>
  <si>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</si>
  <si>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</si>
  <si>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</si>
  <si>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</si>
  <si>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</si>
  <si>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</si>
  <si>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</si>
  <si>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</si>
  <si>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</si>
  <si>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</si>
  <si>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</si>
  <si>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</si>
  <si>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</si>
  <si>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</si>
  <si>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</si>
  <si>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</si>
  <si>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</si>
  <si>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</si>
  <si>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</si>
  <si>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</si>
  <si>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</si>
  <si>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</si>
  <si>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</si>
  <si>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</si>
  <si>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</si>
  <si>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</si>
  <si>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</si>
  <si>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</si>
  <si>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</si>
  <si>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</si>
  <si>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</si>
  <si>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</si>
  <si>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</si>
  <si>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</si>
  <si>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</si>
  <si>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</si>
  <si>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</si>
  <si>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</si>
  <si>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</si>
  <si>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</si>
  <si>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</si>
  <si>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</si>
  <si>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</si>
  <si>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</si>
  <si>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</si>
  <si>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</si>
  <si>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</si>
  <si>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</si>
  <si>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</si>
  <si>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</si>
  <si>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</si>
  <si>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</si>
  <si>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</si>
  <si>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</si>
  <si>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</si>
  <si>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</si>
  <si>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</si>
  <si>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</si>
  <si>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</si>
  <si>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</si>
  <si>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</si>
  <si>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</si>
  <si>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</si>
  <si>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</si>
  <si>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</si>
  <si>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</si>
  <si>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</si>
  <si>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</si>
  <si>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</si>
  <si>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</si>
  <si>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</si>
  <si>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</si>
  <si>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</si>
  <si>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</si>
  <si>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</si>
  <si>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</si>
  <si>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</si>
  <si>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</si>
  <si>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</si>
  <si>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</si>
  <si>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</si>
  <si>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</si>
  <si>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</si>
  <si>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</si>
  <si>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</si>
  <si>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</si>
  <si>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</si>
  <si>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</si>
  <si>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</si>
  <si>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</si>
  <si>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</si>
  <si>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</si>
  <si>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</si>
  <si>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</si>
  <si>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</si>
  <si>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</si>
  <si>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</si>
  <si>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</si>
  <si>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</si>
  <si>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</si>
  <si>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</si>
  <si>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</si>
  <si>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</si>
  <si>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</si>
  <si>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</si>
  <si>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</si>
  <si>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</si>
  <si>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</si>
  <si>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</si>
  <si>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</si>
  <si>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</si>
  <si>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</si>
  <si>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</si>
  <si>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</si>
  <si>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</si>
  <si>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</si>
  <si>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</si>
  <si>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</si>
  <si>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</si>
  <si>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</si>
  <si>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</si>
  <si>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</si>
  <si>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</si>
  <si>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</si>
  <si>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</si>
  <si>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</si>
  <si>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</si>
  <si>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</si>
  <si>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</si>
  <si>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</si>
  <si>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</si>
  <si>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</si>
  <si>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</si>
  <si>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</si>
  <si>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</si>
  <si>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</si>
  <si>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</si>
  <si>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</si>
  <si>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</si>
  <si>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</si>
  <si>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</si>
  <si>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</si>
  <si>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</si>
  <si>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</si>
  <si>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</si>
  <si>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</si>
  <si>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</si>
  <si>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</si>
  <si>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</si>
  <si>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</si>
  <si>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</si>
  <si>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</si>
  <si>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</si>
  <si>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</si>
  <si>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</si>
  <si>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</si>
  <si>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</si>
  <si>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</si>
  <si>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</si>
  <si>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</si>
  <si>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</si>
  <si>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</si>
  <si>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</si>
  <si>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</si>
  <si>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</si>
  <si>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</si>
  <si>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</si>
  <si>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</si>
  <si>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</si>
  <si>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</si>
  <si>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</si>
  <si>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</si>
  <si>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</si>
  <si>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</si>
  <si>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</si>
  <si>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</si>
  <si>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</si>
  <si>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</si>
  <si>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</si>
  <si>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</si>
  <si>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</si>
  <si>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</si>
  <si>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</si>
  <si>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</si>
  <si>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</si>
  <si>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</si>
  <si>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</si>
  <si>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</si>
  <si>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</si>
  <si>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</si>
  <si>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</si>
  <si>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</si>
  <si>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</si>
  <si>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</si>
  <si>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</si>
  <si>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</si>
  <si>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</si>
  <si>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</si>
  <si>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</si>
  <si>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</si>
  <si>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</si>
  <si>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</si>
  <si>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</si>
  <si>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</si>
  <si>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</si>
  <si>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</si>
  <si>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</si>
  <si>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</si>
  <si>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</si>
  <si>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</si>
  <si>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</si>
  <si>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</si>
  <si>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</si>
  <si>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</si>
  <si>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</si>
  <si>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</si>
  <si>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</si>
  <si>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</si>
  <si>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</si>
  <si>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</si>
  <si>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</si>
  <si>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</si>
  <si>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</si>
  <si>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</si>
  <si>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</si>
  <si>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</si>
  <si>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</si>
  <si>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</si>
  <si>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</si>
  <si>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</si>
  <si>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</si>
  <si>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</si>
  <si>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</si>
  <si>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</si>
  <si>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</si>
  <si>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</si>
  <si>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</si>
  <si>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</si>
  <si>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</si>
  <si>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</si>
  <si>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</si>
  <si>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</si>
  <si>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</si>
  <si>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</si>
  <si>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</si>
  <si>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</si>
  <si>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</si>
  <si>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</si>
  <si>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</si>
  <si>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</si>
  <si>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</si>
  <si>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</si>
  <si>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</si>
  <si>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</si>
  <si>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</si>
  <si>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</si>
  <si>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</si>
  <si>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</si>
  <si>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</si>
  <si>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</si>
  <si>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</si>
  <si>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</si>
  <si>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</si>
  <si>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</si>
  <si>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</si>
  <si>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</si>
  <si>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</si>
  <si>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</si>
  <si>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</si>
  <si>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</si>
  <si>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</si>
  <si>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</si>
  <si>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</si>
  <si>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</si>
  <si>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</si>
  <si>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</si>
  <si>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</si>
  <si>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</si>
  <si>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</si>
  <si>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</si>
  <si>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</si>
  <si>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</si>
  <si>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</si>
  <si>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</si>
  <si>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</si>
  <si>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</si>
  <si>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</si>
  <si>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</si>
  <si>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</si>
  <si>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</si>
  <si>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</si>
  <si>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</si>
  <si>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</si>
  <si>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</si>
  <si>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</si>
  <si>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</si>
  <si>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</si>
  <si>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</si>
  <si>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</si>
  <si>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</si>
  <si>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</si>
  <si>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</si>
  <si>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</si>
  <si>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</si>
  <si>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</si>
  <si>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</si>
  <si>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</si>
  <si>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</si>
  <si>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</si>
  <si>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</si>
  <si>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</si>
  <si>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</si>
  <si>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</si>
  <si>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</si>
  <si>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</si>
  <si>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</si>
  <si>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</si>
  <si>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</si>
  <si>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</si>
  <si>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</si>
  <si>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</si>
  <si>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</si>
  <si>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</si>
  <si>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</si>
  <si>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</si>
  <si>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</si>
  <si>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</si>
  <si>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</si>
  <si>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</si>
  <si>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</si>
  <si>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</si>
  <si>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</si>
  <si>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</si>
  <si>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</si>
  <si>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</si>
  <si>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</si>
  <si>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</si>
  <si>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</si>
  <si>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</si>
  <si>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</si>
  <si>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</si>
  <si>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</si>
  <si>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</si>
  <si>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</si>
  <si>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</si>
  <si>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</si>
  <si>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</si>
  <si>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</si>
  <si>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</si>
  <si>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</si>
  <si>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</si>
  <si>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</si>
  <si>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</si>
  <si>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</si>
  <si>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</si>
  <si>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</si>
  <si>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</si>
  <si>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</si>
  <si>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</si>
  <si>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</si>
  <si>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</si>
  <si>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</si>
  <si>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</si>
  <si>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</si>
  <si>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</si>
  <si>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</si>
  <si>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</si>
  <si>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</si>
  <si>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</si>
  <si>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</si>
  <si>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</si>
  <si>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</si>
  <si>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</si>
  <si>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</si>
  <si>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</si>
  <si>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</si>
  <si>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</si>
  <si>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</si>
  <si>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</si>
  <si>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</si>
  <si>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</si>
  <si>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</si>
  <si>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</si>
  <si>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</si>
  <si>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</si>
  <si>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</si>
  <si>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</si>
  <si>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</si>
  <si>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</si>
  <si>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</si>
  <si>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</si>
  <si>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</si>
  <si>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</si>
  <si>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</si>
  <si>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</si>
  <si>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</si>
  <si>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</si>
  <si>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</si>
  <si>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</si>
  <si>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</si>
  <si>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</si>
  <si>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</si>
  <si>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</si>
  <si>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</si>
  <si>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</si>
  <si>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</si>
  <si>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</si>
  <si>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</si>
  <si>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</si>
  <si>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</si>
  <si>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</si>
  <si>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</si>
  <si>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</si>
  <si>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</si>
  <si>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</si>
  <si>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</si>
  <si>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</si>
  <si>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</si>
  <si>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</si>
  <si>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</si>
  <si>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</si>
  <si>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</si>
  <si>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</si>
  <si>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</si>
  <si>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</si>
  <si>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</si>
  <si>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</si>
  <si>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</si>
  <si>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</si>
  <si>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</si>
  <si>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</si>
  <si>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</si>
  <si>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</si>
  <si>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</si>
  <si>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</si>
  <si>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</si>
  <si>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</si>
  <si>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</si>
  <si>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</si>
  <si>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</si>
  <si>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</si>
  <si>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</si>
  <si>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</si>
  <si>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</si>
  <si>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</si>
  <si>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</si>
  <si>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</si>
  <si>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</si>
  <si>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</si>
  <si>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</si>
  <si>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</si>
  <si>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</si>
  <si>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</si>
  <si>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</si>
  <si>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</si>
  <si>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</si>
  <si>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</si>
  <si>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</si>
  <si>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</si>
  <si>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</si>
  <si>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</si>
  <si>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</si>
  <si>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</si>
  <si>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</si>
  <si>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</si>
  <si>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</si>
  <si>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</si>
  <si>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</si>
  <si>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</si>
  <si>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</si>
  <si>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</si>
  <si>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</si>
  <si>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</si>
  <si>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</si>
  <si>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</si>
  <si>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</si>
  <si>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</si>
  <si>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</si>
  <si>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</si>
  <si>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</si>
  <si>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</si>
  <si>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</si>
  <si>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</si>
  <si>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</si>
  <si>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</si>
  <si>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</si>
  <si>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</si>
  <si>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</si>
  <si>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</si>
  <si>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</si>
  <si>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</si>
  <si>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</si>
  <si>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</si>
  <si>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</si>
  <si>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</si>
  <si>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</si>
  <si>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</si>
  <si>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</si>
  <si>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</si>
  <si>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</si>
  <si>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</si>
  <si>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</si>
  <si>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</si>
  <si>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</si>
  <si>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</si>
  <si>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</si>
  <si>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</si>
  <si>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</si>
  <si>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</si>
  <si>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</si>
  <si>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</si>
  <si>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</si>
  <si>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</si>
  <si>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</si>
  <si>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</si>
  <si>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</si>
  <si>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</si>
  <si>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</si>
  <si>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</si>
  <si>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</si>
  <si>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</si>
  <si>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</si>
  <si>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</si>
  <si>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</si>
  <si>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</si>
  <si>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</si>
  <si>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</si>
  <si>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</si>
  <si>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</si>
  <si>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</si>
  <si>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</si>
  <si>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</si>
  <si>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</si>
  <si>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</si>
  <si>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</si>
  <si>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</si>
  <si>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</si>
  <si>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</si>
  <si>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</si>
  <si>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</si>
  <si>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</si>
  <si>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</si>
  <si>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</si>
  <si>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</si>
  <si>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</si>
  <si>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</si>
  <si>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</si>
  <si>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</si>
  <si>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</si>
  <si>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</si>
  <si>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</si>
  <si>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</si>
  <si>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</si>
  <si>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</si>
  <si>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</si>
  <si>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</si>
  <si>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</si>
  <si>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</si>
  <si>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</si>
  <si>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</si>
  <si>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</si>
  <si>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</si>
  <si>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</si>
  <si>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</si>
  <si>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</si>
  <si>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</si>
  <si>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</si>
  <si>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</si>
  <si>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</si>
  <si>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</si>
  <si>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</si>
  <si>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</si>
  <si>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</si>
  <si>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</si>
  <si>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</si>
  <si>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</si>
  <si>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</si>
  <si>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</si>
  <si>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</si>
  <si>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</si>
  <si>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</si>
  <si>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</si>
  <si>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</si>
  <si>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</si>
  <si>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</si>
  <si>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</si>
  <si>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</si>
  <si>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</si>
  <si>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</si>
  <si>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</si>
  <si>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</si>
  <si>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</si>
  <si>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</si>
  <si>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</si>
  <si>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</si>
  <si>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</si>
  <si>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</si>
  <si>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</si>
  <si>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</si>
  <si>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</si>
  <si>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</si>
  <si>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</si>
  <si>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</si>
  <si>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</si>
  <si>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</si>
  <si>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</si>
  <si>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</si>
  <si>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</si>
  <si>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</si>
  <si>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</si>
  <si>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</si>
  <si>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</si>
  <si>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</si>
  <si>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</si>
  <si>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</si>
  <si>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</si>
  <si>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</si>
  <si>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</si>
  <si>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</si>
  <si>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</si>
  <si>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</si>
  <si>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</si>
  <si>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</si>
  <si>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</si>
  <si>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</si>
  <si>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</si>
  <si>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</si>
  <si>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</si>
  <si>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</si>
  <si>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</si>
  <si>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</si>
  <si>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</si>
  <si>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</si>
  <si>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</si>
  <si>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</si>
  <si>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</si>
  <si>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</si>
  <si>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</si>
  <si>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</si>
  <si>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</si>
  <si>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</si>
  <si>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</si>
  <si>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</si>
  <si>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</si>
  <si>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</si>
  <si>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</si>
  <si>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</si>
  <si>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</si>
  <si>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</si>
  <si>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</si>
  <si>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</si>
  <si>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</si>
  <si>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</si>
  <si>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</si>
  <si>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</si>
  <si>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</si>
  <si>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</si>
  <si>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</si>
  <si>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</si>
  <si>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</si>
  <si>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</si>
  <si>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</si>
  <si>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</si>
  <si>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</si>
  <si>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</si>
  <si>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</si>
  <si>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</si>
  <si>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</si>
  <si>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</si>
  <si>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</si>
  <si>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</si>
  <si>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</si>
  <si>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</si>
  <si>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</si>
  <si>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</si>
  <si>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</si>
  <si>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</si>
  <si>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</si>
  <si>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</si>
  <si>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</si>
  <si>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</si>
  <si>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</si>
  <si>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</si>
  <si>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</si>
  <si>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</si>
  <si>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</si>
  <si>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</si>
  <si>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</si>
  <si>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</si>
  <si>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</si>
  <si>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</si>
  <si>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</si>
  <si>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</si>
  <si>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</si>
  <si>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</si>
  <si>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</si>
  <si>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</si>
  <si>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</si>
  <si>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</si>
  <si>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</si>
  <si>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</si>
  <si>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</si>
  <si>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</si>
  <si>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</si>
  <si>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</si>
  <si>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</si>
  <si>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</si>
  <si>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</si>
  <si>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</si>
  <si>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</si>
  <si>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</si>
  <si>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</si>
  <si>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</si>
  <si>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</si>
  <si>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</si>
  <si>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</si>
  <si>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</si>
  <si>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</si>
  <si>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</si>
  <si>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</si>
  <si>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</si>
  <si>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</si>
  <si>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</si>
  <si>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</si>
  <si>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</si>
  <si>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</si>
  <si>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</si>
  <si>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</si>
  <si>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</si>
  <si>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</si>
  <si>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</si>
  <si>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</si>
  <si>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</si>
  <si>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</si>
  <si>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</si>
  <si>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</si>
  <si>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</si>
  <si>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</si>
  <si>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</si>
  <si>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</si>
  <si>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</si>
  <si>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</si>
  <si>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</si>
  <si>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</si>
  <si>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</si>
  <si>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</si>
  <si>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</si>
  <si>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</si>
  <si>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</si>
  <si>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</si>
  <si>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</si>
  <si>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</si>
  <si>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</si>
  <si>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</si>
  <si>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</si>
  <si>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</si>
  <si>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</si>
  <si>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</si>
  <si>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</si>
  <si>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</si>
  <si>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</si>
  <si>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</si>
  <si>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</si>
  <si>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</si>
  <si>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</si>
  <si>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</si>
  <si>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</si>
  <si>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</si>
  <si>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</si>
  <si>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</si>
  <si>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</si>
  <si>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</si>
  <si>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</si>
  <si>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</si>
  <si>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</si>
  <si>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</si>
  <si>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</si>
  <si>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</si>
  <si>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</si>
  <si>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</si>
  <si>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</si>
  <si>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</si>
  <si>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</si>
  <si>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</si>
  <si>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</si>
  <si>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</si>
  <si>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</si>
  <si>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</si>
  <si>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</si>
  <si>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</si>
  <si>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</si>
  <si>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</si>
  <si>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</si>
  <si>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</si>
  <si>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</si>
  <si>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</si>
  <si>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</si>
  <si>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</si>
  <si>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</si>
  <si>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</si>
  <si>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</si>
  <si>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</si>
  <si>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</si>
  <si>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</si>
  <si>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</si>
  <si>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</si>
  <si>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</si>
  <si>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</si>
  <si>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</si>
  <si>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</si>
  <si>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</si>
  <si>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</si>
  <si>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</si>
  <si>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</si>
  <si>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</si>
  <si>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</si>
  <si>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</si>
  <si>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</si>
  <si>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</si>
  <si>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</si>
  <si>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</si>
  <si>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</si>
  <si>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</si>
  <si>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</si>
  <si>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</si>
  <si>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</si>
  <si>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</si>
  <si>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</si>
  <si>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</si>
  <si>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</si>
  <si>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</si>
  <si>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</si>
  <si>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</si>
  <si>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</si>
  <si>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</si>
  <si>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</si>
  <si>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</si>
  <si>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</si>
  <si>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</si>
  <si>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</si>
  <si>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</si>
  <si>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</si>
  <si>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</si>
  <si>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</si>
  <si>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</si>
  <si>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</si>
  <si>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</si>
  <si>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</si>
  <si>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</si>
  <si>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</si>
  <si>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</si>
  <si>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</si>
  <si>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</si>
  <si>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</si>
  <si>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</si>
  <si>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</si>
  <si>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</si>
  <si>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</si>
  <si>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</si>
  <si>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</si>
  <si>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</si>
  <si>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</si>
  <si>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</si>
  <si>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</si>
  <si>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</si>
  <si>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</si>
  <si>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</si>
  <si>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</si>
  <si>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</si>
  <si>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</si>
  <si>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</si>
  <si>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</si>
  <si>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</si>
  <si>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</si>
  <si>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</si>
  <si>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</si>
  <si>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</si>
  <si>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</si>
  <si>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</si>
  <si>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</si>
  <si>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</si>
  <si>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</si>
  <si>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</si>
  <si>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</si>
  <si>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</si>
  <si>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</si>
  <si>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</si>
  <si>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</si>
  <si>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</si>
  <si>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</si>
  <si>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</si>
  <si>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</si>
  <si>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</si>
  <si>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</si>
  <si>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</si>
  <si>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</si>
  <si>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</si>
  <si>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</si>
  <si>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</si>
  <si>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</si>
  <si>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</si>
  <si>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</si>
  <si>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</si>
  <si>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</si>
  <si>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</si>
  <si>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</si>
  <si>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</si>
  <si>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</si>
  <si>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</si>
  <si>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</si>
  <si>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</si>
  <si>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</si>
  <si>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</si>
  <si>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</si>
  <si>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</si>
  <si>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</si>
  <si>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</si>
  <si>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</si>
  <si>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</si>
  <si>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</si>
  <si>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</si>
  <si>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</si>
  <si>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</si>
  <si>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</si>
  <si>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</si>
  <si>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</si>
  <si>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</si>
  <si>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</si>
  <si>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</si>
  <si>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</si>
  <si>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</si>
  <si>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</si>
  <si>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</si>
  <si>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</si>
  <si>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</si>
  <si>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</si>
  <si>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</si>
  <si>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</si>
  <si>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</si>
  <si>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</si>
  <si>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</si>
  <si>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</si>
  <si>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</si>
  <si>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</si>
  <si>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</si>
  <si>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</si>
  <si>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</si>
  <si>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</si>
  <si>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</si>
  <si>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</si>
  <si>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</si>
  <si>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</si>
  <si>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</si>
  <si>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</si>
  <si>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</si>
  <si>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</si>
  <si>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</si>
  <si>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</si>
  <si>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</si>
  <si>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</si>
  <si>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</si>
  <si>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</si>
  <si>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</si>
  <si>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</si>
  <si>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</si>
  <si>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</si>
  <si>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</si>
  <si>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</si>
  <si>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</si>
  <si>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</si>
  <si>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</si>
  <si>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</si>
  <si>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</si>
  <si>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</si>
  <si>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</si>
  <si>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</si>
  <si>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</si>
  <si>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</si>
  <si>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</si>
  <si>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</si>
  <si>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</si>
  <si>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</si>
  <si>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</si>
  <si>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</si>
  <si>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</si>
  <si>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</si>
  <si>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</si>
  <si>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</si>
  <si>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</si>
  <si>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</si>
  <si>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</si>
  <si>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</si>
  <si>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</si>
  <si>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</si>
  <si>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</si>
  <si>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</si>
  <si>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</si>
  <si>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</si>
  <si>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</si>
  <si>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</si>
  <si>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</si>
  <si>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</si>
  <si>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</si>
  <si>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</si>
  <si>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</si>
  <si>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</si>
  <si>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</si>
  <si>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</si>
  <si>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</si>
  <si>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</si>
  <si>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</si>
  <si>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</si>
  <si>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</si>
  <si>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</si>
  <si>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</si>
  <si>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</si>
  <si>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</si>
  <si>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</si>
  <si>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</si>
  <si>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</si>
  <si>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</si>
  <si>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</si>
  <si>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</si>
  <si>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</si>
  <si>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</si>
  <si>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</si>
  <si>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</si>
  <si>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</si>
  <si>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</si>
  <si>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</si>
  <si>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</si>
  <si>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</si>
  <si>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</si>
  <si>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</si>
  <si>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</si>
  <si>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</si>
  <si>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</si>
  <si>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</si>
  <si>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</si>
  <si>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</si>
  <si>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</si>
  <si>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</si>
  <si>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</si>
  <si>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</si>
  <si>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</si>
  <si>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</si>
  <si>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</si>
  <si>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</si>
  <si>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</si>
  <si>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</si>
  <si>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</si>
  <si>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</si>
  <si>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</si>
  <si>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</si>
  <si>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</si>
  <si>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</si>
  <si>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</si>
  <si>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</si>
  <si>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</si>
  <si>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</si>
  <si>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</si>
  <si>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</si>
  <si>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</si>
  <si>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</si>
  <si>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</si>
  <si>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</si>
  <si>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</si>
  <si>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</si>
  <si>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</si>
  <si>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</si>
  <si>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</si>
  <si>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</si>
  <si>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</si>
  <si>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</si>
  <si>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</si>
  <si>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</si>
  <si>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</si>
  <si>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</si>
  <si>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</si>
  <si>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</si>
  <si>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</si>
  <si>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</si>
  <si>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</si>
  <si>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</si>
  <si>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</si>
  <si>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</si>
  <si>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</si>
  <si>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</si>
  <si>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</si>
  <si>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</si>
  <si>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</si>
  <si>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</si>
  <si>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</si>
  <si>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</si>
  <si>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</si>
  <si>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</si>
  <si>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</si>
  <si>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</si>
  <si>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</si>
  <si>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</si>
  <si>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</si>
  <si>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</si>
  <si>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</si>
  <si>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</si>
  <si>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</si>
  <si>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</si>
  <si>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</si>
  <si>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</si>
  <si>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</si>
  <si>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</si>
  <si>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</si>
  <si>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</si>
  <si>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</si>
  <si>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</si>
  <si>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</si>
  <si>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</si>
  <si>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</si>
  <si>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</si>
  <si>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</si>
  <si>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</si>
  <si>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</si>
  <si>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</si>
  <si>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</si>
  <si>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</si>
  <si>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</si>
  <si>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</si>
  <si>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</si>
  <si>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</si>
  <si>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</si>
  <si>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</si>
  <si>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</si>
  <si>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</si>
  <si>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</si>
  <si>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</si>
  <si>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</si>
  <si>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</si>
  <si>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</si>
  <si>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</si>
  <si>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</si>
  <si>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</si>
  <si>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</si>
  <si>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</si>
  <si>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</si>
  <si>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</si>
  <si>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</si>
  <si>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</si>
  <si>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</si>
  <si>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</si>
  <si>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</si>
  <si>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</si>
  <si>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</si>
  <si>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</si>
  <si>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</si>
  <si>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</si>
  <si>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</si>
  <si>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</si>
  <si>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</si>
  <si>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</si>
  <si>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</si>
  <si>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</si>
  <si>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</si>
  <si>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</si>
  <si>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</si>
  <si>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</si>
  <si>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</si>
  <si>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</si>
  <si>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</si>
  <si>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</si>
  <si>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</si>
  <si>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</si>
  <si>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</si>
  <si>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</si>
  <si>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</si>
  <si>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</si>
  <si>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</si>
  <si>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</si>
  <si>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</si>
  <si>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</si>
  <si>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</si>
  <si>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</si>
  <si>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</si>
  <si>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</si>
  <si>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</si>
  <si>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</si>
  <si>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</si>
  <si>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</si>
  <si>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</si>
  <si>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</si>
  <si>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</si>
  <si>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</si>
  <si>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</si>
  <si>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</si>
  <si>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</si>
  <si>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</si>
  <si>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</si>
  <si>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</si>
  <si>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</si>
  <si>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</si>
  <si>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</si>
  <si>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</si>
  <si>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</si>
  <si>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</si>
  <si>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</si>
  <si>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</si>
  <si>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</si>
  <si>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</si>
  <si>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</si>
  <si>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</si>
  <si>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</si>
  <si>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</si>
  <si>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</si>
  <si>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</si>
  <si>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</si>
  <si>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</si>
  <si>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</si>
  <si>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</si>
  <si>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</si>
  <si>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</si>
  <si>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</si>
  <si>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</si>
  <si>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</si>
  <si>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</si>
  <si>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</si>
  <si>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</si>
  <si>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</si>
  <si>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</si>
  <si>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</si>
  <si>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</si>
  <si>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</si>
  <si>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</si>
  <si>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</si>
  <si>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</si>
  <si>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</si>
  <si>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</si>
  <si>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</si>
  <si>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</si>
  <si>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</si>
  <si>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</si>
  <si>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</si>
  <si>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</si>
  <si>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</si>
  <si>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</si>
  <si>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</si>
  <si>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</si>
  <si>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</si>
  <si>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</si>
  <si>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</si>
  <si>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</si>
  <si>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</si>
  <si>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</si>
  <si>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</si>
  <si>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</si>
  <si>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</si>
  <si>
    <t>Freeze the top rows in some sheets</t>
  </si>
  <si>
    <t>Proc rate of Classic enchants like Fiery, Demonslaying and Lifestealing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</si>
</sst>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4">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6" borderId="78" xfId="0" applyFill="1" applyBorder="1"/>
    <xf numFmtId="0" fontId="0" fillId="26" borderId="42" xfId="0" applyFont="1" applyFill="1" applyBorder="1"/>
    <xf numFmtId="0" fontId="0" fillId="26" borderId="38" xfId="0" applyFont="1" applyFill="1" applyBorder="1"/>
    <xf numFmtId="0" fontId="0" fillId="28" borderId="0" xfId="0" applyFill="1" applyBorder="1" applyAlignment="1">
      <alignment horizontal="left"/>
    </xf>
    <xf numFmtId="0" fontId="2" fillId="29" borderId="0" xfId="0" applyFont="1" applyFill="1" applyBorder="1"/>
    <xf numFmtId="0" fontId="0" fillId="28" borderId="0" xfId="0" applyFont="1" applyFill="1" applyBorder="1" applyAlignment="1">
      <alignment horizontal="center"/>
    </xf>
    <xf numFmtId="1" fontId="0" fillId="28" borderId="0" xfId="0" applyNumberFormat="1" applyFont="1" applyFill="1" applyBorder="1" applyAlignment="1">
      <alignment horizontal="center"/>
    </xf>
    <xf numFmtId="0" fontId="0" fillId="28" borderId="0" xfId="0" applyFill="1" applyBorder="1" applyAlignment="1"/>
    <xf numFmtId="175" fontId="42" fillId="28" borderId="0" xfId="0" applyNumberFormat="1" applyFont="1" applyFill="1" applyBorder="1" applyAlignment="1">
      <alignment horizontal="center"/>
    </xf>
    <xf numFmtId="0" fontId="63" fillId="28" borderId="0" xfId="0" applyFont="1" applyFill="1" applyBorder="1" applyAlignment="1"/>
    <xf numFmtId="0" fontId="63" fillId="28" borderId="0" xfId="0" applyFont="1" applyFill="1" applyBorder="1" applyAlignment="1">
      <alignment horizontal="center"/>
    </xf>
    <xf numFmtId="1" fontId="63" fillId="28" borderId="0" xfId="0" applyNumberFormat="1" applyFont="1" applyFill="1" applyBorder="1" applyAlignment="1">
      <alignment horizontal="center"/>
    </xf>
    <xf numFmtId="0" fontId="63" fillId="28" borderId="0" xfId="0" applyNumberFormat="1" applyFont="1" applyFill="1" applyBorder="1" applyAlignment="1">
      <alignment horizontal="center"/>
    </xf>
    <xf numFmtId="2" fontId="63" fillId="28" borderId="0" xfId="0" applyNumberFormat="1" applyFont="1" applyFill="1" applyBorder="1" applyAlignment="1">
      <alignment horizontal="center"/>
    </xf>
    <xf numFmtId="0" fontId="0" fillId="28" borderId="0" xfId="0" applyFont="1" applyFill="1" applyBorder="1"/>
    <xf numFmtId="0" fontId="63" fillId="28" borderId="0" xfId="0" applyFont="1" applyFill="1" applyBorder="1" applyAlignment="1">
      <alignment horizontal="left"/>
    </xf>
    <xf numFmtId="0" fontId="63" fillId="28" borderId="0" xfId="0" applyFont="1" applyFill="1" applyBorder="1" applyAlignment="1" applyProtection="1">
      <protection locked="0"/>
    </xf>
    <xf numFmtId="0" fontId="0" fillId="29" borderId="0" xfId="0" applyFill="1" applyAlignment="1"/>
    <xf numFmtId="0" fontId="0" fillId="29"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1" borderId="0" xfId="0" applyFill="1" applyBorder="1" applyAlignment="1"/>
    <xf numFmtId="0" fontId="0" fillId="30" borderId="0" xfId="0" applyFont="1" applyFill="1" applyBorder="1"/>
    <xf numFmtId="0" fontId="0" fillId="31" borderId="0" xfId="0" applyFont="1" applyFill="1" applyBorder="1" applyAlignment="1">
      <alignment horizontal="center"/>
    </xf>
    <xf numFmtId="1" fontId="0" fillId="31" borderId="0" xfId="0" applyNumberFormat="1" applyFont="1" applyFill="1" applyBorder="1" applyAlignment="1">
      <alignment horizontal="center"/>
    </xf>
    <xf numFmtId="0" fontId="0" fillId="31" borderId="0" xfId="0" applyNumberFormat="1" applyFont="1" applyFill="1" applyBorder="1" applyAlignment="1">
      <alignment horizontal="center"/>
    </xf>
    <xf numFmtId="2" fontId="0" fillId="31" borderId="0" xfId="0" applyNumberFormat="1" applyFont="1" applyFill="1" applyBorder="1" applyAlignment="1">
      <alignment horizontal="center"/>
    </xf>
    <xf numFmtId="0" fontId="0" fillId="31" borderId="0" xfId="0" applyFont="1" applyFill="1" applyBorder="1" applyAlignment="1">
      <alignment horizontal="left"/>
    </xf>
    <xf numFmtId="0" fontId="0" fillId="31" borderId="0" xfId="0" applyFill="1" applyBorder="1" applyAlignment="1">
      <alignment horizontal="left"/>
    </xf>
    <xf numFmtId="0" fontId="16" fillId="27" borderId="56" xfId="0" applyFont="1" applyFill="1" applyBorder="1"/>
    <xf numFmtId="0" fontId="16" fillId="27" borderId="57" xfId="0" applyFont="1" applyFill="1" applyBorder="1" applyAlignment="1">
      <alignment horizontal="center"/>
    </xf>
    <xf numFmtId="0" fontId="16" fillId="27" borderId="59" xfId="0" applyFont="1" applyFill="1" applyBorder="1" applyAlignment="1">
      <alignment horizontal="center"/>
    </xf>
    <xf numFmtId="0" fontId="16" fillId="27" borderId="56" xfId="0" applyFont="1" applyFill="1" applyBorder="1" applyAlignment="1"/>
    <xf numFmtId="0" fontId="21" fillId="27" borderId="57" xfId="0" applyFont="1" applyFill="1" applyBorder="1"/>
    <xf numFmtId="0" fontId="16" fillId="27" borderId="58" xfId="0" applyFont="1" applyFill="1" applyBorder="1"/>
    <xf numFmtId="0" fontId="16" fillId="27" borderId="56" xfId="0" applyFont="1" applyFill="1" applyBorder="1" applyAlignment="1">
      <alignment horizontal="left"/>
    </xf>
    <xf numFmtId="0" fontId="0" fillId="27" borderId="58" xfId="0" applyFont="1" applyFill="1" applyBorder="1"/>
    <xf numFmtId="0" fontId="16" fillId="23" borderId="25" xfId="0" applyFont="1" applyFill="1" applyBorder="1" applyAlignment="1">
      <alignment horizontal="center"/>
    </xf>
    <xf numFmtId="0" fontId="64" fillId="32" borderId="0" xfId="0" applyFont="1" applyFill="1"/>
    <xf numFmtId="0" fontId="64" fillId="33" borderId="0" xfId="0" applyFont="1" applyFill="1"/>
    <xf numFmtId="0" fontId="0" fillId="32" borderId="0" xfId="0" applyFont="1" applyFill="1"/>
    <xf numFmtId="0" fontId="64" fillId="34" borderId="0" xfId="0" applyFont="1" applyFill="1"/>
    <xf numFmtId="0" fontId="64" fillId="35" borderId="0" xfId="0" applyFont="1" applyFill="1"/>
    <xf numFmtId="0" fontId="64" fillId="37" borderId="0" xfId="0" applyFont="1" applyFill="1"/>
    <xf numFmtId="0" fontId="64" fillId="38"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7" borderId="57" xfId="0" applyFont="1" applyFill="1" applyBorder="1" applyAlignment="1">
      <alignment horizontal="center"/>
    </xf>
    <xf numFmtId="9" fontId="19" fillId="27" borderId="57" xfId="0" applyNumberFormat="1" applyFont="1" applyFill="1" applyBorder="1" applyAlignment="1">
      <alignment horizontal="center"/>
    </xf>
    <xf numFmtId="0" fontId="19" fillId="27" borderId="57" xfId="0" applyNumberFormat="1" applyFont="1" applyFill="1" applyBorder="1" applyAlignment="1">
      <alignment horizontal="center"/>
    </xf>
    <xf numFmtId="49" fontId="19" fillId="27" borderId="57" xfId="0" applyNumberFormat="1" applyFont="1" applyFill="1" applyBorder="1" applyAlignment="1">
      <alignment horizontal="center"/>
    </xf>
    <xf numFmtId="0" fontId="19" fillId="27" borderId="59" xfId="0" applyFont="1" applyFill="1" applyBorder="1" applyAlignment="1">
      <alignment horizontal="center"/>
    </xf>
    <xf numFmtId="0" fontId="16" fillId="27" borderId="57" xfId="0" applyFont="1" applyFill="1" applyBorder="1" applyAlignment="1">
      <alignment horizontal="left"/>
    </xf>
    <xf numFmtId="0" fontId="0" fillId="30" borderId="24" xfId="0" applyFont="1" applyFill="1" applyBorder="1"/>
    <xf numFmtId="0" fontId="0" fillId="30" borderId="37" xfId="0" applyFont="1" applyFill="1" applyBorder="1"/>
    <xf numFmtId="0" fontId="0" fillId="0" borderId="24" xfId="0" applyFont="1" applyBorder="1"/>
    <xf numFmtId="0" fontId="0" fillId="0" borderId="25" xfId="0" applyFont="1" applyBorder="1"/>
    <xf numFmtId="0" fontId="16" fillId="27" borderId="22" xfId="0" applyFont="1" applyFill="1" applyBorder="1" applyAlignment="1">
      <alignment horizontal="center" vertical="center"/>
    </xf>
    <xf numFmtId="0" fontId="16" fillId="27" borderId="22" xfId="0" applyFont="1" applyFill="1" applyBorder="1" applyAlignment="1">
      <alignment horizontal="center"/>
    </xf>
    <xf numFmtId="0" fontId="16" fillId="27" borderId="32" xfId="0" applyFont="1" applyFill="1" applyBorder="1" applyAlignment="1">
      <alignment horizontal="center"/>
    </xf>
    <xf numFmtId="0" fontId="16" fillId="27"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29" borderId="62" xfId="0" applyFont="1" applyFill="1" applyBorder="1"/>
    <xf numFmtId="0" fontId="2" fillId="29" borderId="62" xfId="0" applyFont="1" applyFill="1" applyBorder="1" applyAlignment="1">
      <alignment horizontal="left"/>
    </xf>
    <xf numFmtId="0" fontId="2" fillId="29"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29"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29" borderId="145" xfId="0" applyFont="1" applyFill="1" applyBorder="1" applyAlignment="1">
      <alignment horizontal="left"/>
    </xf>
    <xf numFmtId="0" fontId="5" fillId="0" borderId="62" xfId="0" applyFont="1" applyFill="1" applyBorder="1" applyAlignment="1">
      <alignment horizontal="left"/>
    </xf>
    <xf numFmtId="0" fontId="2" fillId="29" borderId="62" xfId="0" applyFont="1" applyFill="1" applyBorder="1" applyAlignment="1">
      <alignment horizontal="center"/>
    </xf>
    <xf numFmtId="0" fontId="2" fillId="29"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29" borderId="144" xfId="0" applyFont="1" applyFill="1" applyBorder="1" applyAlignment="1">
      <alignment horizontal="center"/>
    </xf>
    <xf numFmtId="0" fontId="2" fillId="29"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29" borderId="144" xfId="0" applyFont="1" applyFill="1" applyBorder="1"/>
    <xf numFmtId="0" fontId="2" fillId="29" borderId="46" xfId="0" applyFont="1" applyFill="1" applyBorder="1" applyAlignment="1">
      <alignment horizontal="center"/>
    </xf>
    <xf numFmtId="0" fontId="2" fillId="29" borderId="46" xfId="0" applyFont="1" applyFill="1" applyBorder="1"/>
    <xf numFmtId="0" fontId="2" fillId="29" borderId="43" xfId="0" applyFont="1" applyFill="1" applyBorder="1" applyAlignment="1">
      <alignment horizontal="center"/>
    </xf>
    <xf numFmtId="0" fontId="2" fillId="29"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29"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29" borderId="145" xfId="0" applyFont="1" applyFill="1" applyBorder="1" applyAlignment="1">
      <alignment horizontal="center" vertical="center"/>
    </xf>
    <xf numFmtId="0" fontId="2" fillId="29"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29" borderId="144" xfId="0" applyFont="1" applyFill="1" applyBorder="1" applyAlignment="1">
      <alignment horizontal="center" wrapText="1"/>
    </xf>
    <xf numFmtId="0" fontId="2" fillId="29" borderId="62" xfId="0" applyFont="1" applyFill="1" applyBorder="1" applyAlignment="1">
      <alignment horizontal="center" wrapText="1"/>
    </xf>
    <xf numFmtId="0" fontId="2" fillId="29"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39" borderId="0" xfId="0" applyFont="1" applyFill="1" applyAlignment="1"/>
    <xf numFmtId="0" fontId="32" fillId="39" borderId="0" xfId="0" applyNumberFormat="1" applyFont="1" applyFill="1" applyAlignment="1">
      <alignment horizontal="center"/>
    </xf>
    <xf numFmtId="0" fontId="0" fillId="39" borderId="0" xfId="0" applyFont="1" applyFill="1" applyBorder="1"/>
    <xf numFmtId="1" fontId="0" fillId="39" borderId="16" xfId="0" applyNumberFormat="1" applyFont="1" applyFill="1" applyBorder="1" applyAlignment="1">
      <alignment horizontal="center"/>
    </xf>
    <xf numFmtId="1" fontId="0" fillId="39" borderId="0" xfId="0" applyNumberFormat="1" applyFont="1" applyFill="1" applyAlignment="1">
      <alignment horizontal="center"/>
    </xf>
    <xf numFmtId="0" fontId="0" fillId="39" borderId="0" xfId="0" applyFont="1" applyFill="1" applyAlignment="1">
      <alignment horizontal="center"/>
    </xf>
    <xf numFmtId="0" fontId="0" fillId="39" borderId="0" xfId="0" applyNumberFormat="1" applyFont="1" applyFill="1" applyAlignment="1">
      <alignment horizontal="center"/>
    </xf>
    <xf numFmtId="0" fontId="0" fillId="39" borderId="15" xfId="0" applyFont="1" applyFill="1" applyBorder="1"/>
    <xf numFmtId="1" fontId="0" fillId="39" borderId="0" xfId="0" applyNumberFormat="1" applyFont="1" applyFill="1" applyBorder="1" applyAlignment="1">
      <alignment horizontal="center"/>
    </xf>
    <xf numFmtId="0" fontId="64" fillId="0" borderId="0" xfId="0" applyFont="1" applyFill="1"/>
    <xf numFmtId="0" fontId="64" fillId="36" borderId="0" xfId="0" applyFont="1" applyFill="1" applyBorder="1"/>
    <xf numFmtId="0" fontId="32" fillId="0" borderId="0" xfId="0" applyNumberFormat="1" applyFont="1" applyBorder="1" applyAlignment="1">
      <alignment horizontal="center"/>
    </xf>
    <xf numFmtId="0" fontId="64" fillId="38"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39"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0" borderId="115" xfId="0" applyFont="1" applyFill="1" applyBorder="1" applyAlignment="1">
      <alignment horizontal="left"/>
    </xf>
    <xf numFmtId="0" fontId="16" fillId="40" borderId="118" xfId="0" applyFont="1" applyFill="1" applyBorder="1" applyAlignment="1">
      <alignment horizontal="center"/>
    </xf>
    <xf numFmtId="0" fontId="16" fillId="40" borderId="29" xfId="0" applyFont="1" applyFill="1" applyBorder="1" applyAlignment="1"/>
    <xf numFmtId="0" fontId="16" fillId="40" borderId="0" xfId="0" applyFont="1" applyFill="1" applyBorder="1" applyAlignment="1"/>
    <xf numFmtId="0" fontId="16" fillId="40" borderId="0" xfId="0" applyFont="1" applyFill="1" applyBorder="1" applyAlignment="1">
      <alignment horizontal="center"/>
    </xf>
    <xf numFmtId="0" fontId="16" fillId="40" borderId="29" xfId="0" applyFont="1" applyFill="1" applyBorder="1"/>
    <xf numFmtId="0" fontId="18" fillId="40" borderId="0" xfId="0" applyFont="1" applyFill="1" applyBorder="1"/>
    <xf numFmtId="0" fontId="16" fillId="40" borderId="30" xfId="0" applyFont="1" applyFill="1" applyBorder="1" applyAlignment="1">
      <alignment horizontal="center"/>
    </xf>
    <xf numFmtId="0" fontId="18" fillId="40" borderId="29" xfId="0" applyFont="1" applyFill="1" applyBorder="1"/>
    <xf numFmtId="0" fontId="16" fillId="40" borderId="0" xfId="0" applyFont="1" applyFill="1" applyBorder="1"/>
    <xf numFmtId="0" fontId="18" fillId="40" borderId="30"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1" borderId="30" xfId="0" applyFont="1" applyFill="1" applyBorder="1" applyAlignment="1">
      <alignment horizontal="center"/>
    </xf>
    <xf numFmtId="0" fontId="50" fillId="40" borderId="29" xfId="0" applyFont="1" applyFill="1" applyBorder="1" applyAlignment="1">
      <alignment horizontal="center"/>
    </xf>
    <xf numFmtId="0" fontId="50" fillId="40" borderId="0" xfId="0" applyFont="1" applyFill="1" applyBorder="1" applyAlignment="1"/>
    <xf numFmtId="0" fontId="5" fillId="40" borderId="0" xfId="0" applyFont="1" applyFill="1" applyBorder="1" applyAlignment="1"/>
    <xf numFmtId="0" fontId="5" fillId="40" borderId="30" xfId="0" applyFont="1" applyFill="1" applyBorder="1" applyAlignment="1"/>
    <xf numFmtId="0" fontId="16" fillId="40" borderId="29" xfId="0" applyFont="1" applyFill="1" applyBorder="1" applyAlignment="1">
      <alignment horizontal="left"/>
    </xf>
    <xf numFmtId="0" fontId="16" fillId="40" borderId="0" xfId="0" applyFont="1" applyFill="1" applyBorder="1" applyAlignment="1">
      <alignment horizontal="left"/>
    </xf>
    <xf numFmtId="1" fontId="16" fillId="40" borderId="30" xfId="0" applyNumberFormat="1" applyFont="1" applyFill="1" applyBorder="1" applyAlignment="1">
      <alignment horizontal="center"/>
    </xf>
    <xf numFmtId="0" fontId="0" fillId="40" borderId="0" xfId="0" applyFill="1" applyBorder="1"/>
    <xf numFmtId="0" fontId="0" fillId="40" borderId="29" xfId="0" applyFill="1" applyBorder="1"/>
    <xf numFmtId="1" fontId="16" fillId="41" borderId="0" xfId="0" applyNumberFormat="1" applyFont="1" applyFill="1" applyBorder="1" applyAlignment="1">
      <alignment horizontal="center"/>
    </xf>
    <xf numFmtId="1" fontId="16" fillId="41" borderId="29" xfId="0" applyNumberFormat="1" applyFont="1" applyFill="1" applyBorder="1" applyAlignment="1">
      <alignment horizontal="left"/>
    </xf>
    <xf numFmtId="1" fontId="16" fillId="41" borderId="0" xfId="0" applyNumberFormat="1" applyFont="1" applyFill="1" applyBorder="1" applyAlignment="1">
      <alignment horizontal="left"/>
    </xf>
    <xf numFmtId="0" fontId="0" fillId="40" borderId="30" xfId="0" applyFill="1" applyBorder="1"/>
    <xf numFmtId="0" fontId="51" fillId="40" borderId="29" xfId="0" applyFont="1" applyFill="1" applyBorder="1"/>
    <xf numFmtId="0" fontId="50" fillId="40" borderId="0" xfId="0" applyFont="1" applyFill="1" applyBorder="1"/>
    <xf numFmtId="0" fontId="2" fillId="40" borderId="0" xfId="0" applyFont="1" applyFill="1" applyBorder="1"/>
    <xf numFmtId="0" fontId="2" fillId="40" borderId="30" xfId="0" applyFont="1" applyFill="1" applyBorder="1"/>
    <xf numFmtId="0" fontId="2" fillId="40" borderId="0" xfId="0" applyFont="1" applyFill="1" applyBorder="1" applyAlignment="1"/>
    <xf numFmtId="0" fontId="2" fillId="40" borderId="30" xfId="0" applyFont="1" applyFill="1" applyBorder="1" applyAlignment="1"/>
    <xf numFmtId="0" fontId="16" fillId="42" borderId="27" xfId="0" applyFont="1" applyFill="1" applyBorder="1" applyAlignment="1">
      <alignment horizontal="left"/>
    </xf>
    <xf numFmtId="0" fontId="16" fillId="42" borderId="28" xfId="0" applyFont="1" applyFill="1" applyBorder="1" applyAlignment="1">
      <alignment horizontal="left"/>
    </xf>
    <xf numFmtId="0" fontId="16" fillId="42" borderId="2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2" borderId="27" xfId="0" applyFont="1" applyFill="1" applyBorder="1"/>
    <xf numFmtId="0" fontId="18" fillId="42" borderId="28" xfId="0" applyFont="1" applyFill="1" applyBorder="1"/>
    <xf numFmtId="0" fontId="18" fillId="42" borderId="48" xfId="0" applyFont="1" applyFill="1" applyBorder="1" applyAlignment="1">
      <alignment horizontal="center"/>
    </xf>
    <xf numFmtId="0" fontId="18" fillId="43" borderId="29" xfId="0" applyFont="1" applyFill="1" applyBorder="1"/>
    <xf numFmtId="0" fontId="18" fillId="43" borderId="0" xfId="0" applyFont="1" applyFill="1" applyBorder="1"/>
    <xf numFmtId="0" fontId="18" fillId="43" borderId="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30" xfId="0" applyFont="1" applyFill="1" applyBorder="1" applyAlignment="1">
      <alignment horizontal="center"/>
    </xf>
    <xf numFmtId="1" fontId="16" fillId="42" borderId="30" xfId="0" applyNumberFormat="1" applyFont="1" applyFill="1" applyBorder="1" applyAlignment="1">
      <alignment horizontal="center"/>
    </xf>
    <xf numFmtId="0" fontId="16" fillId="42" borderId="0" xfId="0" applyFont="1" applyFill="1" applyBorder="1" applyAlignment="1">
      <alignment horizontal="left"/>
    </xf>
    <xf numFmtId="1" fontId="16" fillId="42" borderId="0" xfId="0" applyNumberFormat="1" applyFont="1" applyFill="1" applyBorder="1" applyAlignment="1">
      <alignment horizontal="center"/>
    </xf>
    <xf numFmtId="0" fontId="16" fillId="42" borderId="29" xfId="0" applyFont="1" applyFill="1" applyBorder="1" applyAlignment="1">
      <alignment horizontal="left"/>
    </xf>
    <xf numFmtId="0" fontId="0" fillId="43" borderId="29" xfId="0" applyFill="1" applyBorder="1"/>
    <xf numFmtId="0" fontId="0" fillId="43" borderId="0" xfId="0" applyFill="1" applyBorder="1"/>
    <xf numFmtId="0" fontId="0" fillId="43" borderId="30" xfId="0" applyFill="1" applyBorder="1"/>
    <xf numFmtId="0" fontId="16" fillId="42" borderId="0" xfId="0" applyFont="1" applyFill="1" applyBorder="1" applyAlignment="1">
      <alignment horizontal="center"/>
    </xf>
    <xf numFmtId="0" fontId="18" fillId="42" borderId="29" xfId="0" applyFont="1" applyFill="1" applyBorder="1" applyAlignment="1">
      <alignment horizontal="left"/>
    </xf>
    <xf numFmtId="0" fontId="16" fillId="42" borderId="0" xfId="0" applyFont="1" applyFill="1" applyBorder="1"/>
    <xf numFmtId="1" fontId="18" fillId="42" borderId="30" xfId="0" applyNumberFormat="1" applyFont="1" applyFill="1" applyBorder="1" applyAlignment="1">
      <alignment horizontal="center"/>
    </xf>
    <xf numFmtId="0" fontId="18" fillId="42" borderId="29" xfId="0" applyFont="1" applyFill="1" applyBorder="1"/>
    <xf numFmtId="0" fontId="18" fillId="42" borderId="30" xfId="0" applyFont="1" applyFill="1" applyBorder="1" applyAlignment="1">
      <alignment horizontal="center"/>
    </xf>
    <xf numFmtId="0" fontId="16" fillId="42" borderId="29" xfId="0" applyFont="1" applyFill="1" applyBorder="1"/>
    <xf numFmtId="0" fontId="31" fillId="43" borderId="0" xfId="0" applyFont="1" applyFill="1" applyBorder="1"/>
    <xf numFmtId="0" fontId="16" fillId="43" borderId="0" xfId="0" applyFont="1" applyFill="1" applyBorder="1" applyAlignment="1">
      <alignment horizontal="center"/>
    </xf>
    <xf numFmtId="0" fontId="18" fillId="43" borderId="30" xfId="0"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18" fillId="42" borderId="0" xfId="0" applyFont="1" applyFill="1" applyBorder="1" applyAlignment="1">
      <alignment horizontal="center"/>
    </xf>
    <xf numFmtId="0" fontId="16" fillId="43" borderId="29" xfId="0" applyFont="1" applyFill="1" applyBorder="1"/>
    <xf numFmtId="0" fontId="16" fillId="43" borderId="0" xfId="0" applyFont="1" applyFill="1" applyBorder="1"/>
    <xf numFmtId="0" fontId="18" fillId="42" borderId="29" xfId="0" applyFont="1" applyFill="1" applyBorder="1" applyAlignment="1"/>
    <xf numFmtId="0" fontId="16" fillId="42" borderId="31" xfId="0" applyFont="1" applyFill="1" applyBorder="1" applyAlignment="1"/>
    <xf numFmtId="0" fontId="16" fillId="42" borderId="22" xfId="0" applyFont="1" applyFill="1" applyBorder="1" applyAlignment="1"/>
    <xf numFmtId="0" fontId="16" fillId="42" borderId="22" xfId="0" applyFont="1" applyFill="1" applyBorder="1" applyAlignment="1">
      <alignment horizontal="center"/>
    </xf>
    <xf numFmtId="0" fontId="16" fillId="42" borderId="32" xfId="0" applyFont="1" applyFill="1" applyBorder="1" applyAlignment="1">
      <alignment horizontal="center"/>
    </xf>
    <xf numFmtId="1" fontId="16" fillId="42" borderId="32" xfId="0" applyNumberFormat="1" applyFont="1" applyFill="1" applyBorder="1" applyAlignment="1">
      <alignment horizontal="center"/>
    </xf>
    <xf numFmtId="2" fontId="0" fillId="29" borderId="17" xfId="0" applyNumberFormat="1" applyFont="1" applyFill="1" applyBorder="1"/>
    <xf numFmtId="0" fontId="0" fillId="29" borderId="0" xfId="0" applyFont="1" applyFill="1" applyBorder="1"/>
    <xf numFmtId="0" fontId="0" fillId="29" borderId="6" xfId="0" applyFont="1" applyFill="1" applyBorder="1"/>
    <xf numFmtId="0" fontId="16" fillId="44" borderId="22" xfId="0" applyFont="1" applyFill="1" applyBorder="1" applyAlignment="1">
      <alignment horizontal="left"/>
    </xf>
    <xf numFmtId="0" fontId="16" fillId="44" borderId="22" xfId="0" applyFont="1" applyFill="1" applyBorder="1"/>
    <xf numFmtId="0" fontId="0" fillId="29" borderId="27" xfId="0" applyFill="1" applyBorder="1"/>
    <xf numFmtId="0" fontId="0" fillId="29" borderId="0" xfId="0" applyFill="1" applyBorder="1"/>
    <xf numFmtId="0" fontId="0" fillId="29" borderId="0" xfId="0" applyFill="1" applyBorder="1" applyAlignment="1">
      <alignment horizontal="center"/>
    </xf>
    <xf numFmtId="0" fontId="0" fillId="29" borderId="27" xfId="0" applyFill="1" applyBorder="1" applyAlignment="1">
      <alignment horizontal="center"/>
    </xf>
    <xf numFmtId="0" fontId="0" fillId="29" borderId="48" xfId="0" applyFont="1" applyFill="1" applyBorder="1" applyAlignment="1">
      <alignment horizontal="center"/>
    </xf>
    <xf numFmtId="0" fontId="0" fillId="29" borderId="22" xfId="0" applyFill="1" applyBorder="1"/>
    <xf numFmtId="0" fontId="49" fillId="29" borderId="28" xfId="0" applyFont="1" applyFill="1" applyBorder="1" applyAlignment="1"/>
    <xf numFmtId="0" fontId="0" fillId="29" borderId="28" xfId="0" applyFill="1" applyBorder="1"/>
    <xf numFmtId="0" fontId="0" fillId="29" borderId="48" xfId="0" applyFont="1" applyFill="1" applyBorder="1"/>
    <xf numFmtId="0" fontId="0" fillId="29" borderId="29" xfId="0" applyFill="1" applyBorder="1"/>
    <xf numFmtId="0" fontId="0" fillId="29" borderId="30" xfId="0" applyFill="1" applyBorder="1"/>
    <xf numFmtId="175" fontId="47" fillId="29" borderId="66" xfId="0" applyNumberFormat="1" applyFont="1" applyFill="1" applyBorder="1" applyAlignment="1">
      <alignment horizontal="center"/>
    </xf>
    <xf numFmtId="0" fontId="62" fillId="29" borderId="27" xfId="0" applyFont="1" applyFill="1" applyBorder="1"/>
    <xf numFmtId="0" fontId="0" fillId="29" borderId="28" xfId="0" applyFont="1" applyFill="1" applyBorder="1"/>
    <xf numFmtId="0" fontId="16" fillId="40" borderId="27" xfId="0" applyFont="1" applyFill="1" applyBorder="1" applyAlignment="1">
      <alignment horizontal="center"/>
    </xf>
    <xf numFmtId="2" fontId="31" fillId="41" borderId="57" xfId="0" applyNumberFormat="1" applyFont="1" applyFill="1" applyBorder="1" applyAlignment="1">
      <alignment horizontal="right"/>
    </xf>
    <xf numFmtId="0" fontId="31" fillId="40" borderId="0" xfId="0" applyFont="1" applyFill="1" applyBorder="1" applyAlignment="1">
      <alignment horizontal="right"/>
    </xf>
    <xf numFmtId="0" fontId="16" fillId="43" borderId="29" xfId="0" applyFont="1" applyFill="1" applyBorder="1" applyAlignment="1">
      <alignment horizontal="left"/>
    </xf>
    <xf numFmtId="10" fontId="31" fillId="43" borderId="30" xfId="0" applyNumberFormat="1" applyFont="1" applyFill="1" applyBorder="1" applyAlignment="1">
      <alignment horizontal="center"/>
    </xf>
    <xf numFmtId="0" fontId="16" fillId="40" borderId="31" xfId="0" applyFont="1" applyFill="1" applyBorder="1" applyAlignment="1">
      <alignment horizontal="left"/>
    </xf>
    <xf numFmtId="10" fontId="31" fillId="40" borderId="32" xfId="0" applyNumberFormat="1" applyFont="1" applyFill="1" applyBorder="1"/>
    <xf numFmtId="1" fontId="31" fillId="40" borderId="118" xfId="0" applyNumberFormat="1" applyFont="1" applyFill="1" applyBorder="1" applyAlignment="1">
      <alignment horizontal="center"/>
    </xf>
    <xf numFmtId="0" fontId="31" fillId="43" borderId="30" xfId="0" applyFont="1" applyFill="1" applyBorder="1" applyAlignment="1">
      <alignment horizontal="center"/>
    </xf>
    <xf numFmtId="10" fontId="31" fillId="40" borderId="30" xfId="0" applyNumberFormat="1" applyFont="1" applyFill="1" applyBorder="1" applyAlignment="1">
      <alignment horizontal="center"/>
    </xf>
    <xf numFmtId="9" fontId="16" fillId="40" borderId="29" xfId="0" applyNumberFormat="1" applyFont="1" applyFill="1" applyBorder="1" applyAlignment="1">
      <alignment horizontal="left"/>
    </xf>
    <xf numFmtId="1" fontId="31" fillId="40" borderId="30" xfId="0" applyNumberFormat="1" applyFont="1" applyFill="1" applyBorder="1" applyAlignment="1">
      <alignment horizontal="center"/>
    </xf>
    <xf numFmtId="0" fontId="16" fillId="43" borderId="30" xfId="0" applyFont="1" applyFill="1" applyBorder="1" applyAlignment="1">
      <alignment horizontal="center"/>
    </xf>
    <xf numFmtId="10" fontId="16" fillId="40" borderId="29" xfId="0" applyNumberFormat="1" applyFont="1" applyFill="1" applyBorder="1" applyAlignment="1">
      <alignment horizontal="left"/>
    </xf>
    <xf numFmtId="10" fontId="31" fillId="43" borderId="30" xfId="0" quotePrefix="1" applyNumberFormat="1" applyFont="1" applyFill="1" applyBorder="1" applyAlignment="1">
      <alignment horizontal="center"/>
    </xf>
    <xf numFmtId="2" fontId="31" fillId="41" borderId="47" xfId="0" applyNumberFormat="1" applyFont="1" applyFill="1" applyBorder="1" applyAlignment="1">
      <alignment horizontal="right"/>
    </xf>
    <xf numFmtId="2" fontId="31" fillId="41" borderId="0" xfId="0" applyNumberFormat="1" applyFont="1" applyFill="1" applyBorder="1" applyAlignment="1">
      <alignment horizontal="right"/>
    </xf>
    <xf numFmtId="2" fontId="31" fillId="40" borderId="22" xfId="0" applyNumberFormat="1" applyFont="1" applyFill="1" applyBorder="1" applyAlignment="1">
      <alignment horizontal="right"/>
    </xf>
    <xf numFmtId="0" fontId="31" fillId="40" borderId="22" xfId="0" applyFont="1" applyFill="1" applyBorder="1" applyAlignment="1">
      <alignment horizontal="right"/>
    </xf>
    <xf numFmtId="0" fontId="16" fillId="42" borderId="4" xfId="0" applyFont="1" applyFill="1" applyBorder="1"/>
    <xf numFmtId="0" fontId="16" fillId="42" borderId="5" xfId="0" applyFont="1" applyFill="1" applyBorder="1"/>
    <xf numFmtId="0" fontId="0" fillId="42" borderId="4" xfId="0" applyFill="1" applyBorder="1"/>
    <xf numFmtId="2" fontId="0" fillId="41" borderId="0" xfId="0" applyNumberFormat="1" applyFill="1" applyBorder="1"/>
    <xf numFmtId="0" fontId="0" fillId="41" borderId="6" xfId="0" applyFont="1" applyFill="1" applyBorder="1"/>
    <xf numFmtId="0" fontId="0" fillId="41" borderId="6" xfId="0" applyFill="1" applyBorder="1"/>
    <xf numFmtId="2" fontId="0" fillId="41" borderId="17" xfId="0" applyNumberFormat="1" applyFont="1" applyFill="1" applyBorder="1"/>
    <xf numFmtId="2" fontId="0" fillId="41" borderId="7" xfId="0" applyNumberFormat="1" applyFill="1" applyBorder="1"/>
    <xf numFmtId="0" fontId="0" fillId="41" borderId="8" xfId="0" applyFont="1" applyFill="1" applyBorder="1"/>
    <xf numFmtId="2" fontId="0" fillId="41" borderId="18" xfId="0" applyNumberFormat="1" applyFont="1" applyFill="1" applyBorder="1"/>
    <xf numFmtId="0" fontId="0" fillId="42" borderId="53" xfId="0" applyFill="1" applyBorder="1"/>
    <xf numFmtId="0" fontId="0" fillId="42" borderId="17" xfId="0" applyFill="1" applyBorder="1"/>
    <xf numFmtId="2" fontId="0" fillId="41" borderId="17" xfId="0" applyNumberFormat="1" applyFill="1" applyBorder="1"/>
    <xf numFmtId="0" fontId="50" fillId="43" borderId="27" xfId="0" applyFont="1" applyFill="1" applyBorder="1" applyAlignment="1">
      <alignment horizontal="center"/>
    </xf>
    <xf numFmtId="0" fontId="50" fillId="43" borderId="28" xfId="0" applyFont="1" applyFill="1" applyBorder="1" applyAlignment="1"/>
    <xf numFmtId="0" fontId="5" fillId="43" borderId="28" xfId="0" applyFont="1" applyFill="1" applyBorder="1" applyAlignment="1"/>
    <xf numFmtId="0" fontId="5" fillId="43" borderId="48" xfId="0" applyFont="1" applyFill="1" applyBorder="1" applyAlignment="1"/>
    <xf numFmtId="0" fontId="50" fillId="43" borderId="29" xfId="0" applyFont="1" applyFill="1" applyBorder="1" applyAlignment="1">
      <alignment horizontal="center"/>
    </xf>
    <xf numFmtId="0" fontId="50" fillId="43" borderId="0" xfId="0" applyFont="1" applyFill="1" applyBorder="1" applyAlignment="1"/>
    <xf numFmtId="0" fontId="5" fillId="43" borderId="0" xfId="0" applyFont="1" applyFill="1" applyBorder="1" applyAlignment="1"/>
    <xf numFmtId="0" fontId="5" fillId="43" borderId="30" xfId="0" applyFont="1" applyFill="1" applyBorder="1" applyAlignment="1"/>
    <xf numFmtId="0" fontId="50" fillId="43" borderId="31" xfId="0" applyFont="1" applyFill="1" applyBorder="1" applyAlignment="1">
      <alignment horizontal="center"/>
    </xf>
    <xf numFmtId="0" fontId="50" fillId="43" borderId="22" xfId="0" applyFont="1" applyFill="1" applyBorder="1" applyAlignment="1"/>
    <xf numFmtId="0" fontId="2" fillId="43" borderId="22" xfId="0" applyFont="1" applyFill="1" applyBorder="1" applyAlignment="1"/>
    <xf numFmtId="0" fontId="2" fillId="43" borderId="32" xfId="0" applyFont="1" applyFill="1" applyBorder="1" applyAlignment="1"/>
    <xf numFmtId="0" fontId="50" fillId="43" borderId="29" xfId="0" applyFont="1" applyFill="1" applyBorder="1" applyAlignment="1">
      <alignment horizontal="left"/>
    </xf>
    <xf numFmtId="0" fontId="51" fillId="43" borderId="0" xfId="0" applyFont="1" applyFill="1" applyBorder="1" applyAlignment="1">
      <alignment horizontal="left"/>
    </xf>
    <xf numFmtId="0" fontId="51" fillId="43" borderId="10" xfId="0" applyFont="1" applyFill="1" applyBorder="1" applyAlignment="1">
      <alignment horizontal="left"/>
    </xf>
    <xf numFmtId="0" fontId="51" fillId="43" borderId="0" xfId="0" applyFont="1" applyFill="1" applyBorder="1" applyAlignment="1"/>
    <xf numFmtId="0" fontId="50" fillId="42" borderId="0" xfId="0" applyFont="1" applyFill="1" applyBorder="1" applyAlignment="1">
      <alignment horizontal="left"/>
    </xf>
    <xf numFmtId="0" fontId="51" fillId="43" borderId="22" xfId="0" applyFont="1" applyFill="1" applyBorder="1"/>
    <xf numFmtId="0" fontId="50" fillId="43" borderId="29" xfId="0" applyFont="1" applyFill="1" applyBorder="1" applyAlignment="1"/>
    <xf numFmtId="0" fontId="51" fillId="43" borderId="69" xfId="0" applyFont="1" applyFill="1" applyBorder="1" applyAlignment="1"/>
    <xf numFmtId="175" fontId="0" fillId="43" borderId="69" xfId="0" applyNumberFormat="1" applyFont="1" applyFill="1" applyBorder="1" applyAlignment="1">
      <alignment horizontal="center"/>
    </xf>
    <xf numFmtId="0" fontId="50" fillId="42" borderId="29" xfId="0" applyFont="1" applyFill="1" applyBorder="1" applyAlignment="1">
      <alignment horizontal="left"/>
    </xf>
    <xf numFmtId="0" fontId="52" fillId="42" borderId="0" xfId="0" applyFont="1" applyFill="1" applyBorder="1" applyAlignment="1">
      <alignment horizontal="left"/>
    </xf>
    <xf numFmtId="0" fontId="50" fillId="42" borderId="69" xfId="0" applyFont="1" applyFill="1" applyBorder="1" applyAlignment="1">
      <alignment horizontal="left"/>
    </xf>
    <xf numFmtId="0" fontId="50" fillId="43" borderId="31" xfId="0" applyFont="1" applyFill="1" applyBorder="1"/>
    <xf numFmtId="0" fontId="51" fillId="43" borderId="71" xfId="0" applyFont="1" applyFill="1" applyBorder="1"/>
    <xf numFmtId="1" fontId="50" fillId="41" borderId="119" xfId="0" applyNumberFormat="1" applyFont="1" applyFill="1" applyBorder="1" applyAlignment="1">
      <alignment horizontal="center"/>
    </xf>
    <xf numFmtId="0" fontId="50" fillId="41" borderId="119" xfId="0" applyNumberFormat="1" applyFont="1" applyFill="1" applyBorder="1" applyAlignment="1">
      <alignment horizontal="center"/>
    </xf>
    <xf numFmtId="0" fontId="50" fillId="40" borderId="119" xfId="0" applyFont="1" applyFill="1" applyBorder="1" applyAlignment="1">
      <alignment horizontal="center"/>
    </xf>
    <xf numFmtId="9" fontId="50" fillId="41" borderId="70" xfId="0" applyNumberFormat="1" applyFont="1" applyFill="1" applyBorder="1" applyAlignment="1">
      <alignment horizontal="center"/>
    </xf>
    <xf numFmtId="10" fontId="50" fillId="40" borderId="70" xfId="0" applyNumberFormat="1" applyFont="1" applyFill="1" applyBorder="1" applyAlignment="1">
      <alignment horizontal="center"/>
    </xf>
    <xf numFmtId="0" fontId="50" fillId="40" borderId="70" xfId="0" applyFont="1" applyFill="1" applyBorder="1" applyAlignment="1">
      <alignment horizontal="center"/>
    </xf>
    <xf numFmtId="9" fontId="50" fillId="40" borderId="70" xfId="0" applyNumberFormat="1" applyFont="1" applyFill="1" applyBorder="1" applyAlignment="1">
      <alignment horizontal="center"/>
    </xf>
    <xf numFmtId="0" fontId="50" fillId="40" borderId="70" xfId="0" applyNumberFormat="1" applyFont="1" applyFill="1" applyBorder="1" applyAlignment="1">
      <alignment horizontal="center"/>
    </xf>
    <xf numFmtId="0" fontId="50" fillId="40" borderId="72" xfId="0" applyFont="1" applyFill="1" applyBorder="1" applyAlignment="1">
      <alignment horizontal="center"/>
    </xf>
    <xf numFmtId="0" fontId="16" fillId="40" borderId="115" xfId="0" applyNumberFormat="1" applyFont="1" applyFill="1" applyBorder="1" applyAlignment="1">
      <alignment horizontal="left"/>
    </xf>
    <xf numFmtId="0" fontId="31" fillId="40" borderId="30" xfId="0" applyFont="1" applyFill="1" applyBorder="1" applyAlignment="1">
      <alignment horizontal="center"/>
    </xf>
    <xf numFmtId="0" fontId="16" fillId="40" borderId="29" xfId="0" quotePrefix="1" applyFont="1" applyFill="1" applyBorder="1" applyAlignment="1">
      <alignment horizontal="left"/>
    </xf>
    <xf numFmtId="1" fontId="31" fillId="40" borderId="32" xfId="0" applyNumberFormat="1" applyFont="1" applyFill="1" applyBorder="1" applyAlignment="1">
      <alignment horizontal="center"/>
    </xf>
    <xf numFmtId="1" fontId="16" fillId="40" borderId="32" xfId="0" applyNumberFormat="1" applyFont="1" applyFill="1" applyBorder="1" applyAlignment="1">
      <alignment horizontal="center"/>
    </xf>
    <xf numFmtId="2" fontId="31" fillId="42" borderId="0" xfId="0" applyNumberFormat="1" applyFont="1" applyFill="1" applyBorder="1" applyAlignment="1">
      <alignment horizontal="right"/>
    </xf>
    <xf numFmtId="10" fontId="16" fillId="43" borderId="29" xfId="0" applyNumberFormat="1" applyFont="1" applyFill="1" applyBorder="1" applyAlignment="1">
      <alignment horizontal="left"/>
    </xf>
    <xf numFmtId="2" fontId="31" fillId="42" borderId="22" xfId="0" applyNumberFormat="1" applyFont="1" applyFill="1" applyBorder="1" applyAlignment="1">
      <alignment horizontal="right"/>
    </xf>
    <xf numFmtId="0" fontId="16" fillId="42" borderId="53" xfId="0" applyFont="1" applyFill="1" applyBorder="1" applyAlignment="1"/>
    <xf numFmtId="0" fontId="0" fillId="43" borderId="73" xfId="0" applyFill="1" applyBorder="1" applyAlignment="1"/>
    <xf numFmtId="0" fontId="16" fillId="42" borderId="17" xfId="0" applyFont="1" applyFill="1" applyBorder="1" applyAlignment="1"/>
    <xf numFmtId="0" fontId="0" fillId="43" borderId="10" xfId="0" applyFill="1" applyBorder="1" applyAlignment="1"/>
    <xf numFmtId="0" fontId="16" fillId="44" borderId="53" xfId="0" applyFont="1" applyFill="1" applyBorder="1" applyAlignment="1">
      <alignment horizontal="left"/>
    </xf>
    <xf numFmtId="0" fontId="0" fillId="29" borderId="66" xfId="0" applyFill="1" applyBorder="1" applyAlignment="1">
      <alignment horizontal="left"/>
    </xf>
    <xf numFmtId="0" fontId="0" fillId="29" borderId="41" xfId="0" applyFill="1" applyBorder="1"/>
    <xf numFmtId="0" fontId="0" fillId="29" borderId="54" xfId="0" applyFill="1" applyBorder="1" applyAlignment="1">
      <alignment horizontal="left"/>
    </xf>
    <xf numFmtId="1" fontId="2" fillId="41" borderId="77" xfId="0" applyNumberFormat="1" applyFont="1" applyFill="1" applyBorder="1" applyAlignment="1">
      <alignment horizontal="left"/>
    </xf>
    <xf numFmtId="0" fontId="0" fillId="40" borderId="74" xfId="0" applyFill="1" applyBorder="1" applyAlignment="1"/>
    <xf numFmtId="0" fontId="0" fillId="40" borderId="75" xfId="0" applyFill="1" applyBorder="1"/>
    <xf numFmtId="0" fontId="0" fillId="40" borderId="76" xfId="0" applyFill="1" applyBorder="1"/>
    <xf numFmtId="0" fontId="0" fillId="41" borderId="50" xfId="0" applyFill="1" applyBorder="1" applyAlignment="1">
      <alignment horizontal="center"/>
    </xf>
    <xf numFmtId="0" fontId="0" fillId="41" borderId="51" xfId="0" applyFont="1" applyFill="1" applyBorder="1" applyAlignment="1">
      <alignment horizontal="center"/>
    </xf>
    <xf numFmtId="0" fontId="0" fillId="41" borderId="51" xfId="0" applyFill="1" applyBorder="1" applyAlignment="1">
      <alignment horizontal="center"/>
    </xf>
    <xf numFmtId="0" fontId="0" fillId="41" borderId="50" xfId="0" applyFont="1" applyFill="1" applyBorder="1" applyAlignment="1">
      <alignment horizontal="center"/>
    </xf>
    <xf numFmtId="0" fontId="17" fillId="44" borderId="31" xfId="0" applyFont="1" applyFill="1" applyBorder="1" applyAlignment="1">
      <alignment horizontal="left"/>
    </xf>
    <xf numFmtId="0" fontId="17" fillId="44" borderId="22" xfId="0" applyFont="1" applyFill="1" applyBorder="1" applyAlignment="1">
      <alignment horizontal="center"/>
    </xf>
    <xf numFmtId="0" fontId="17" fillId="44" borderId="22" xfId="0" applyFont="1" applyFill="1" applyBorder="1"/>
    <xf numFmtId="0" fontId="17" fillId="44" borderId="32" xfId="0" applyFont="1" applyFill="1" applyBorder="1" applyAlignment="1">
      <alignment horizontal="center"/>
    </xf>
    <xf numFmtId="0" fontId="17" fillId="44" borderId="22" xfId="0" applyFont="1" applyFill="1" applyBorder="1" applyAlignment="1">
      <alignment horizontal="left"/>
    </xf>
    <xf numFmtId="1" fontId="17" fillId="44" borderId="22" xfId="0" applyNumberFormat="1" applyFont="1" applyFill="1" applyBorder="1" applyAlignment="1">
      <alignment horizontal="center"/>
    </xf>
    <xf numFmtId="0" fontId="0" fillId="46" borderId="0" xfId="0" applyFill="1" applyBorder="1" applyAlignment="1"/>
    <xf numFmtId="0" fontId="0" fillId="47" borderId="30" xfId="0" applyNumberFormat="1" applyFont="1" applyFill="1" applyBorder="1" applyAlignment="1">
      <alignment horizontal="center"/>
    </xf>
    <xf numFmtId="0" fontId="0" fillId="42" borderId="30" xfId="0" applyNumberFormat="1" applyFont="1" applyFill="1" applyBorder="1" applyAlignment="1">
      <alignment horizontal="center"/>
    </xf>
    <xf numFmtId="0" fontId="0" fillId="47" borderId="32" xfId="0" applyNumberFormat="1" applyFont="1" applyFill="1" applyBorder="1" applyAlignment="1">
      <alignment horizontal="center"/>
    </xf>
    <xf numFmtId="0" fontId="16" fillId="47" borderId="0" xfId="0" applyFont="1" applyFill="1" applyBorder="1" applyAlignment="1">
      <alignment horizontal="right"/>
    </xf>
    <xf numFmtId="2" fontId="0" fillId="47" borderId="30" xfId="0" applyNumberFormat="1" applyFont="1" applyFill="1" applyBorder="1"/>
    <xf numFmtId="9" fontId="31" fillId="46"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3" borderId="24" xfId="5" applyFill="1" applyBorder="1" applyAlignment="1">
      <alignment horizontal="center"/>
    </xf>
    <xf numFmtId="0" fontId="16" fillId="41" borderId="0" xfId="0" applyFont="1" applyFill="1" applyBorder="1" applyAlignment="1">
      <alignment horizontal="right"/>
    </xf>
    <xf numFmtId="2" fontId="0" fillId="41" borderId="30" xfId="0" applyNumberFormat="1" applyFont="1" applyFill="1" applyBorder="1"/>
    <xf numFmtId="9" fontId="31" fillId="40" borderId="24" xfId="5" applyFill="1" applyBorder="1" applyAlignment="1">
      <alignment horizontal="center"/>
    </xf>
    <xf numFmtId="0" fontId="44" fillId="45" borderId="99" xfId="0" applyFont="1" applyFill="1" applyBorder="1" applyAlignment="1"/>
    <xf numFmtId="0" fontId="16" fillId="45" borderId="41" xfId="0" applyFont="1" applyFill="1" applyBorder="1"/>
    <xf numFmtId="0" fontId="0" fillId="45" borderId="41" xfId="0" applyFont="1" applyFill="1" applyBorder="1"/>
    <xf numFmtId="0" fontId="0" fillId="45" borderId="28" xfId="0" applyFont="1" applyFill="1" applyBorder="1"/>
    <xf numFmtId="0" fontId="0" fillId="45" borderId="48" xfId="0" applyFont="1" applyFill="1" applyBorder="1"/>
    <xf numFmtId="0" fontId="16" fillId="45" borderId="40" xfId="0" applyFont="1" applyFill="1" applyBorder="1"/>
    <xf numFmtId="0" fontId="0" fillId="45" borderId="0" xfId="0" applyFont="1" applyFill="1" applyBorder="1"/>
    <xf numFmtId="0" fontId="0" fillId="45" borderId="30" xfId="0" applyFont="1" applyFill="1" applyBorder="1"/>
    <xf numFmtId="175" fontId="0" fillId="45" borderId="30" xfId="0" applyNumberFormat="1" applyFont="1" applyFill="1" applyBorder="1"/>
    <xf numFmtId="0" fontId="0" fillId="45" borderId="22" xfId="0" applyFont="1" applyFill="1" applyBorder="1"/>
    <xf numFmtId="175" fontId="0" fillId="45" borderId="32" xfId="0" applyNumberFormat="1" applyFont="1" applyFill="1" applyBorder="1"/>
    <xf numFmtId="0" fontId="0" fillId="45" borderId="29" xfId="0" applyFont="1" applyFill="1" applyBorder="1"/>
    <xf numFmtId="0" fontId="0" fillId="45" borderId="31" xfId="0" applyFont="1" applyFill="1" applyBorder="1"/>
    <xf numFmtId="0" fontId="16" fillId="41" borderId="56" xfId="0" applyFont="1" applyFill="1" applyBorder="1" applyAlignment="1">
      <alignment horizontal="right"/>
    </xf>
    <xf numFmtId="2" fontId="0" fillId="41" borderId="59" xfId="0" applyNumberFormat="1" applyFont="1" applyFill="1" applyBorder="1"/>
    <xf numFmtId="9" fontId="0" fillId="40" borderId="67" xfId="0" applyNumberFormat="1" applyFont="1" applyFill="1" applyBorder="1" applyAlignment="1">
      <alignment horizontal="center"/>
    </xf>
    <xf numFmtId="49" fontId="16" fillId="43" borderId="48" xfId="0" applyNumberFormat="1" applyFont="1" applyFill="1" applyBorder="1" applyAlignment="1">
      <alignment horizontal="center"/>
    </xf>
    <xf numFmtId="1" fontId="0" fillId="43" borderId="30" xfId="0" applyNumberFormat="1" applyFont="1" applyFill="1" applyBorder="1" applyAlignment="1">
      <alignment horizontal="center"/>
    </xf>
    <xf numFmtId="9" fontId="16" fillId="46" borderId="30" xfId="0" applyNumberFormat="1" applyFont="1" applyFill="1" applyBorder="1" applyAlignment="1">
      <alignment horizontal="center"/>
    </xf>
    <xf numFmtId="10" fontId="0" fillId="46" borderId="32" xfId="0" applyNumberFormat="1" applyFont="1" applyFill="1" applyBorder="1" applyAlignment="1">
      <alignment horizontal="center"/>
    </xf>
    <xf numFmtId="0" fontId="16" fillId="27" borderId="36" xfId="0" applyFont="1" applyFill="1" applyBorder="1" applyAlignment="1">
      <alignment horizontal="center"/>
    </xf>
    <xf numFmtId="0" fontId="0" fillId="0" borderId="29" xfId="0" applyFont="1" applyFill="1" applyBorder="1"/>
    <xf numFmtId="2" fontId="0" fillId="45" borderId="29" xfId="0" applyNumberFormat="1" applyFont="1" applyFill="1" applyBorder="1"/>
    <xf numFmtId="0" fontId="0" fillId="45" borderId="0" xfId="0" applyFont="1" applyFill="1" applyBorder="1" applyAlignment="1">
      <alignment horizontal="center"/>
    </xf>
    <xf numFmtId="0" fontId="0" fillId="48" borderId="0" xfId="0" applyFont="1" applyFill="1" applyBorder="1" applyAlignment="1">
      <alignment horizontal="left"/>
    </xf>
    <xf numFmtId="0" fontId="2" fillId="43" borderId="0" xfId="0" applyFont="1" applyFill="1" applyBorder="1"/>
    <xf numFmtId="0" fontId="0" fillId="48" borderId="0" xfId="0" applyFont="1" applyFill="1" applyBorder="1" applyAlignment="1">
      <alignment horizontal="center"/>
    </xf>
    <xf numFmtId="1" fontId="0" fillId="48" borderId="0" xfId="0" applyNumberFormat="1" applyFont="1" applyFill="1" applyBorder="1" applyAlignment="1">
      <alignment horizontal="center"/>
    </xf>
    <xf numFmtId="0" fontId="0" fillId="48" borderId="0" xfId="0" applyNumberFormat="1" applyFont="1" applyFill="1" applyBorder="1" applyAlignment="1">
      <alignment horizontal="center"/>
    </xf>
    <xf numFmtId="175" fontId="42" fillId="48" borderId="0" xfId="0" applyNumberFormat="1" applyFont="1" applyFill="1" applyBorder="1" applyAlignment="1">
      <alignment horizontal="center"/>
    </xf>
    <xf numFmtId="1" fontId="16" fillId="49" borderId="57" xfId="0" applyNumberFormat="1" applyFont="1" applyFill="1" applyBorder="1" applyAlignment="1">
      <alignment horizontal="center"/>
    </xf>
    <xf numFmtId="0" fontId="0" fillId="45" borderId="59" xfId="0" applyNumberFormat="1" applyFont="1" applyFill="1" applyBorder="1" applyAlignment="1">
      <alignment horizontal="center"/>
    </xf>
    <xf numFmtId="1" fontId="16" fillId="50" borderId="57" xfId="0" applyNumberFormat="1" applyFont="1" applyFill="1" applyBorder="1" applyAlignment="1">
      <alignment horizontal="center"/>
    </xf>
    <xf numFmtId="1" fontId="16" fillId="50" borderId="59" xfId="0" applyNumberFormat="1" applyFont="1" applyFill="1" applyBorder="1" applyAlignment="1">
      <alignment horizontal="center"/>
    </xf>
    <xf numFmtId="0" fontId="16" fillId="0" borderId="22" xfId="0" applyFont="1" applyBorder="1"/>
    <xf numFmtId="0" fontId="0" fillId="31"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0" borderId="29" xfId="0" applyFont="1" applyFill="1" applyBorder="1" applyAlignment="1">
      <alignment horizontal="center"/>
    </xf>
    <xf numFmtId="0" fontId="16" fillId="40" borderId="22" xfId="0" applyNumberFormat="1" applyFont="1" applyFill="1" applyBorder="1" applyAlignment="1">
      <alignment horizontal="right"/>
    </xf>
    <xf numFmtId="0" fontId="16" fillId="40" borderId="22" xfId="0" applyFont="1" applyFill="1" applyBorder="1" applyAlignment="1"/>
    <xf numFmtId="0" fontId="16" fillId="40" borderId="32" xfId="0" applyNumberFormat="1" applyFont="1" applyFill="1" applyBorder="1" applyAlignment="1">
      <alignment horizontal="left"/>
    </xf>
    <xf numFmtId="0" fontId="16" fillId="40" borderId="31" xfId="0" applyFont="1" applyFill="1" applyBorder="1" applyAlignment="1">
      <alignment horizontal="center"/>
    </xf>
    <xf numFmtId="0" fontId="50" fillId="40" borderId="30" xfId="0" applyFont="1" applyFill="1" applyBorder="1" applyAlignment="1">
      <alignment horizontal="center"/>
    </xf>
    <xf numFmtId="0" fontId="0" fillId="40" borderId="155" xfId="0" applyFill="1" applyBorder="1"/>
    <xf numFmtId="0" fontId="0" fillId="27" borderId="59" xfId="0" applyFill="1" applyBorder="1"/>
    <xf numFmtId="0" fontId="0" fillId="30" borderId="94" xfId="0" applyFill="1" applyBorder="1"/>
    <xf numFmtId="0" fontId="0" fillId="30" borderId="34" xfId="0" applyFill="1" applyBorder="1"/>
    <xf numFmtId="0" fontId="0" fillId="43" borderId="155" xfId="0" applyFill="1" applyBorder="1"/>
    <xf numFmtId="0" fontId="0" fillId="43" borderId="151" xfId="0" applyFill="1" applyBorder="1"/>
    <xf numFmtId="0" fontId="16" fillId="43" borderId="32" xfId="0" applyFont="1" applyFill="1" applyBorder="1" applyAlignment="1">
      <alignment horizontal="center"/>
    </xf>
    <xf numFmtId="0" fontId="16" fillId="30" borderId="99" xfId="0" applyFont="1" applyFill="1" applyBorder="1"/>
    <xf numFmtId="0" fontId="16" fillId="30" borderId="116" xfId="0" applyFont="1" applyFill="1" applyBorder="1"/>
    <xf numFmtId="0" fontId="16" fillId="30" borderId="29" xfId="0" applyFont="1" applyFill="1" applyBorder="1"/>
    <xf numFmtId="0" fontId="16" fillId="30" borderId="30" xfId="0" applyFont="1" applyFill="1" applyBorder="1"/>
    <xf numFmtId="0" fontId="16" fillId="30" borderId="34" xfId="0" applyFont="1" applyFill="1" applyBorder="1"/>
    <xf numFmtId="0" fontId="0" fillId="51" borderId="19" xfId="0" applyFill="1" applyBorder="1"/>
    <xf numFmtId="0" fontId="0" fillId="51" borderId="9" xfId="0" applyFill="1" applyBorder="1"/>
    <xf numFmtId="0" fontId="0" fillId="51" borderId="9" xfId="0" applyFill="1" applyBorder="1" applyAlignment="1">
      <alignment horizontal="right"/>
    </xf>
    <xf numFmtId="0" fontId="0" fillId="51" borderId="14" xfId="0" applyFill="1" applyBorder="1"/>
    <xf numFmtId="0" fontId="0" fillId="51" borderId="11" xfId="0" applyFont="1" applyFill="1" applyBorder="1"/>
    <xf numFmtId="0" fontId="0" fillId="51" borderId="0" xfId="0" applyFill="1" applyBorder="1"/>
    <xf numFmtId="165" fontId="0" fillId="51" borderId="0" xfId="0" applyNumberFormat="1" applyFill="1" applyBorder="1"/>
    <xf numFmtId="1" fontId="0" fillId="51" borderId="0" xfId="0" applyNumberFormat="1" applyFill="1" applyBorder="1"/>
    <xf numFmtId="0" fontId="0" fillId="51" borderId="10" xfId="0" applyFill="1" applyBorder="1"/>
    <xf numFmtId="165" fontId="0" fillId="51" borderId="0" xfId="0" applyNumberFormat="1" applyFont="1" applyFill="1"/>
    <xf numFmtId="10" fontId="0" fillId="51" borderId="0" xfId="0" applyNumberFormat="1" applyFill="1" applyBorder="1"/>
    <xf numFmtId="0" fontId="0" fillId="51" borderId="11" xfId="0" applyFill="1" applyBorder="1"/>
    <xf numFmtId="0" fontId="0" fillId="26" borderId="83" xfId="0" applyFont="1" applyFill="1" applyBorder="1"/>
    <xf numFmtId="0" fontId="0" fillId="26" borderId="61" xfId="0" applyFill="1" applyBorder="1"/>
    <xf numFmtId="165" fontId="0" fillId="51" borderId="12" xfId="0" applyNumberFormat="1" applyFill="1" applyBorder="1"/>
    <xf numFmtId="0" fontId="0" fillId="51" borderId="12" xfId="0" applyFill="1" applyBorder="1"/>
    <xf numFmtId="0" fontId="16" fillId="51" borderId="21" xfId="0" applyFont="1" applyFill="1" applyBorder="1" applyAlignment="1">
      <alignment horizontal="right"/>
    </xf>
    <xf numFmtId="0" fontId="0" fillId="51" borderId="0" xfId="0" applyFill="1"/>
    <xf numFmtId="0" fontId="0" fillId="26" borderId="0" xfId="0" applyFill="1"/>
    <xf numFmtId="0" fontId="0" fillId="51" borderId="0" xfId="0" applyFont="1" applyFill="1"/>
    <xf numFmtId="0" fontId="0" fillId="46" borderId="84" xfId="0" applyFill="1" applyBorder="1" applyAlignment="1"/>
    <xf numFmtId="0" fontId="0" fillId="46" borderId="47" xfId="0" applyFill="1" applyBorder="1" applyAlignment="1"/>
    <xf numFmtId="0" fontId="0" fillId="46" borderId="85" xfId="0" applyFill="1" applyBorder="1" applyAlignment="1"/>
    <xf numFmtId="2" fontId="18" fillId="46" borderId="40" xfId="0" applyNumberFormat="1" applyFont="1" applyFill="1" applyBorder="1" applyAlignment="1">
      <alignment horizontal="center"/>
    </xf>
    <xf numFmtId="0" fontId="18" fillId="46" borderId="69" xfId="0" applyFont="1" applyFill="1" applyBorder="1" applyAlignment="1">
      <alignment horizontal="center"/>
    </xf>
    <xf numFmtId="0" fontId="0" fillId="46" borderId="40" xfId="0" applyFill="1" applyBorder="1" applyAlignment="1"/>
    <xf numFmtId="0" fontId="0" fillId="46" borderId="69" xfId="0" applyFill="1" applyBorder="1" applyAlignment="1"/>
    <xf numFmtId="0" fontId="0" fillId="46" borderId="40" xfId="0" applyNumberFormat="1" applyFill="1" applyBorder="1" applyAlignment="1">
      <alignment horizontal="center"/>
    </xf>
    <xf numFmtId="0" fontId="0" fillId="46" borderId="69" xfId="0" applyNumberFormat="1" applyFill="1" applyBorder="1" applyAlignment="1">
      <alignment horizontal="center"/>
    </xf>
    <xf numFmtId="166" fontId="0" fillId="46" borderId="40" xfId="0" applyNumberFormat="1" applyFill="1" applyBorder="1"/>
    <xf numFmtId="166" fontId="0" fillId="46" borderId="0" xfId="0" applyNumberFormat="1" applyFill="1" applyBorder="1"/>
    <xf numFmtId="166" fontId="0" fillId="46" borderId="69" xfId="0" applyNumberFormat="1" applyFill="1" applyBorder="1"/>
    <xf numFmtId="166" fontId="16" fillId="46" borderId="40" xfId="0" applyNumberFormat="1" applyFont="1" applyFill="1" applyBorder="1"/>
    <xf numFmtId="0" fontId="0" fillId="46" borderId="86" xfId="0" applyNumberFormat="1" applyFill="1" applyBorder="1" applyAlignment="1">
      <alignment horizontal="center"/>
    </xf>
    <xf numFmtId="0" fontId="0" fillId="46" borderId="87" xfId="0" applyNumberFormat="1" applyFill="1" applyBorder="1" applyAlignment="1">
      <alignment horizontal="center"/>
    </xf>
    <xf numFmtId="166" fontId="16" fillId="46" borderId="86" xfId="0" applyNumberFormat="1" applyFont="1" applyFill="1" applyBorder="1"/>
    <xf numFmtId="166" fontId="16" fillId="46" borderId="88" xfId="0" applyNumberFormat="1" applyFont="1" applyFill="1" applyBorder="1"/>
    <xf numFmtId="166" fontId="0" fillId="46" borderId="88" xfId="0" applyNumberFormat="1" applyFill="1" applyBorder="1"/>
    <xf numFmtId="166" fontId="0" fillId="46" borderId="87" xfId="0" applyNumberFormat="1" applyFill="1" applyBorder="1"/>
    <xf numFmtId="0" fontId="0" fillId="46" borderId="89" xfId="0" applyNumberFormat="1" applyFill="1" applyBorder="1" applyAlignment="1">
      <alignment horizontal="center"/>
    </xf>
    <xf numFmtId="0" fontId="0" fillId="46" borderId="90" xfId="0" applyNumberFormat="1" applyFill="1" applyBorder="1" applyAlignment="1">
      <alignment horizontal="center"/>
    </xf>
    <xf numFmtId="166" fontId="16" fillId="46" borderId="89" xfId="0" applyNumberFormat="1" applyFont="1" applyFill="1" applyBorder="1"/>
    <xf numFmtId="166" fontId="0" fillId="46" borderId="91" xfId="0" applyNumberFormat="1" applyFill="1" applyBorder="1"/>
    <xf numFmtId="166" fontId="0" fillId="46" borderId="90" xfId="0" applyNumberFormat="1" applyFill="1" applyBorder="1"/>
    <xf numFmtId="166" fontId="16" fillId="46" borderId="0" xfId="0" applyNumberFormat="1" applyFont="1" applyFill="1" applyBorder="1"/>
    <xf numFmtId="0" fontId="56" fillId="46" borderId="40" xfId="0" applyNumberFormat="1" applyFont="1" applyFill="1" applyBorder="1"/>
    <xf numFmtId="0" fontId="56" fillId="46" borderId="86" xfId="0" applyNumberFormat="1" applyFont="1" applyFill="1" applyBorder="1"/>
    <xf numFmtId="0" fontId="56" fillId="46" borderId="88" xfId="0" applyNumberFormat="1" applyFont="1" applyFill="1" applyBorder="1"/>
    <xf numFmtId="0" fontId="56" fillId="46" borderId="89" xfId="0" applyNumberFormat="1" applyFont="1" applyFill="1" applyBorder="1"/>
    <xf numFmtId="166" fontId="16" fillId="46" borderId="91" xfId="0" applyNumberFormat="1" applyFont="1" applyFill="1" applyBorder="1"/>
    <xf numFmtId="0" fontId="56" fillId="46" borderId="0" xfId="0" applyNumberFormat="1" applyFont="1" applyFill="1" applyBorder="1"/>
    <xf numFmtId="166" fontId="16" fillId="46" borderId="87" xfId="0" applyNumberFormat="1" applyFont="1" applyFill="1" applyBorder="1"/>
    <xf numFmtId="166" fontId="16" fillId="46" borderId="69" xfId="0" applyNumberFormat="1" applyFont="1" applyFill="1" applyBorder="1"/>
    <xf numFmtId="0" fontId="0" fillId="46" borderId="95" xfId="0" applyNumberFormat="1" applyFill="1" applyBorder="1" applyAlignment="1">
      <alignment horizontal="center"/>
    </xf>
    <xf numFmtId="0" fontId="0" fillId="46" borderId="96" xfId="0" applyNumberFormat="1" applyFill="1" applyBorder="1" applyAlignment="1">
      <alignment horizontal="center"/>
    </xf>
    <xf numFmtId="0" fontId="56" fillId="46" borderId="95" xfId="0" applyNumberFormat="1" applyFont="1" applyFill="1" applyBorder="1"/>
    <xf numFmtId="0" fontId="56" fillId="46" borderId="97" xfId="0" applyNumberFormat="1" applyFont="1" applyFill="1" applyBorder="1"/>
    <xf numFmtId="166" fontId="16" fillId="46" borderId="96" xfId="0" applyNumberFormat="1" applyFont="1" applyFill="1" applyBorder="1"/>
    <xf numFmtId="0" fontId="0" fillId="40" borderId="84" xfId="0" applyFill="1" applyBorder="1" applyAlignment="1"/>
    <xf numFmtId="0" fontId="0" fillId="40" borderId="47" xfId="0" applyFill="1" applyBorder="1" applyAlignment="1"/>
    <xf numFmtId="0" fontId="0" fillId="40" borderId="85" xfId="0" applyFill="1" applyBorder="1" applyAlignment="1"/>
    <xf numFmtId="2" fontId="18" fillId="40" borderId="40" xfId="0" applyNumberFormat="1" applyFont="1" applyFill="1" applyBorder="1" applyAlignment="1">
      <alignment horizontal="center"/>
    </xf>
    <xf numFmtId="0" fontId="18" fillId="40" borderId="0" xfId="0" applyFont="1" applyFill="1" applyBorder="1" applyAlignment="1">
      <alignment horizontal="center"/>
    </xf>
    <xf numFmtId="0" fontId="0" fillId="40" borderId="40" xfId="0" applyFill="1" applyBorder="1" applyAlignment="1"/>
    <xf numFmtId="0" fontId="0" fillId="40" borderId="0" xfId="0" applyFill="1" applyBorder="1" applyAlignment="1"/>
    <xf numFmtId="0" fontId="0" fillId="40" borderId="69" xfId="0" applyFill="1" applyBorder="1" applyAlignment="1"/>
    <xf numFmtId="0" fontId="0" fillId="40" borderId="40" xfId="0" applyNumberFormat="1" applyFill="1" applyBorder="1" applyAlignment="1">
      <alignment horizontal="center"/>
    </xf>
    <xf numFmtId="0" fontId="0" fillId="40" borderId="0" xfId="0" applyNumberFormat="1" applyFill="1" applyBorder="1" applyAlignment="1">
      <alignment horizontal="center"/>
    </xf>
    <xf numFmtId="166" fontId="0" fillId="40" borderId="40" xfId="0" applyNumberFormat="1" applyFill="1" applyBorder="1"/>
    <xf numFmtId="166" fontId="0" fillId="40" borderId="0" xfId="0" applyNumberFormat="1" applyFill="1" applyBorder="1"/>
    <xf numFmtId="166" fontId="0" fillId="40" borderId="69" xfId="0" applyNumberFormat="1" applyFill="1" applyBorder="1"/>
    <xf numFmtId="166" fontId="16" fillId="40" borderId="40" xfId="0" applyNumberFormat="1" applyFont="1" applyFill="1" applyBorder="1"/>
    <xf numFmtId="0" fontId="0" fillId="40" borderId="86" xfId="0" applyNumberFormat="1" applyFill="1" applyBorder="1" applyAlignment="1">
      <alignment horizontal="center"/>
    </xf>
    <xf numFmtId="0" fontId="0" fillId="40" borderId="88" xfId="0" applyNumberFormat="1" applyFill="1" applyBorder="1" applyAlignment="1">
      <alignment horizontal="center"/>
    </xf>
    <xf numFmtId="166" fontId="16" fillId="40" borderId="86" xfId="0" applyNumberFormat="1" applyFont="1" applyFill="1" applyBorder="1"/>
    <xf numFmtId="166" fontId="16" fillId="40" borderId="88" xfId="0" applyNumberFormat="1" applyFont="1" applyFill="1" applyBorder="1"/>
    <xf numFmtId="166" fontId="0" fillId="40" borderId="88" xfId="0" applyNumberFormat="1" applyFill="1" applyBorder="1"/>
    <xf numFmtId="166" fontId="0" fillId="40" borderId="87" xfId="0" applyNumberFormat="1" applyFill="1" applyBorder="1"/>
    <xf numFmtId="0" fontId="0" fillId="40" borderId="89" xfId="0" applyNumberFormat="1" applyFill="1" applyBorder="1" applyAlignment="1">
      <alignment horizontal="center"/>
    </xf>
    <xf numFmtId="0" fontId="0" fillId="40" borderId="91" xfId="0" applyNumberFormat="1" applyFill="1" applyBorder="1" applyAlignment="1">
      <alignment horizontal="center"/>
    </xf>
    <xf numFmtId="166" fontId="16" fillId="40" borderId="89" xfId="0" applyNumberFormat="1" applyFont="1" applyFill="1" applyBorder="1"/>
    <xf numFmtId="166" fontId="16" fillId="40" borderId="91" xfId="0" applyNumberFormat="1" applyFont="1" applyFill="1" applyBorder="1"/>
    <xf numFmtId="166" fontId="31" fillId="40" borderId="91" xfId="0" applyNumberFormat="1" applyFont="1" applyFill="1" applyBorder="1"/>
    <xf numFmtId="166" fontId="0" fillId="40" borderId="91" xfId="0" applyNumberFormat="1" applyFill="1" applyBorder="1"/>
    <xf numFmtId="166" fontId="0" fillId="40" borderId="90" xfId="0" applyNumberFormat="1" applyFill="1" applyBorder="1"/>
    <xf numFmtId="166" fontId="16" fillId="40" borderId="0" xfId="0" applyNumberFormat="1" applyFont="1" applyFill="1" applyBorder="1"/>
    <xf numFmtId="0" fontId="56" fillId="40" borderId="40" xfId="0" applyNumberFormat="1" applyFont="1" applyFill="1" applyBorder="1"/>
    <xf numFmtId="0" fontId="56" fillId="40" borderId="86" xfId="0" applyNumberFormat="1" applyFont="1" applyFill="1" applyBorder="1"/>
    <xf numFmtId="0" fontId="56" fillId="40" borderId="88" xfId="0" applyNumberFormat="1" applyFont="1" applyFill="1" applyBorder="1"/>
    <xf numFmtId="166" fontId="16" fillId="40" borderId="87" xfId="0" applyNumberFormat="1" applyFont="1" applyFill="1" applyBorder="1"/>
    <xf numFmtId="0" fontId="56" fillId="40" borderId="89" xfId="0" applyNumberFormat="1" applyFont="1" applyFill="1" applyBorder="1"/>
    <xf numFmtId="0" fontId="56" fillId="40" borderId="91" xfId="0" applyNumberFormat="1" applyFont="1" applyFill="1" applyBorder="1"/>
    <xf numFmtId="0" fontId="0" fillId="40" borderId="83" xfId="0" applyNumberFormat="1" applyFill="1" applyBorder="1" applyAlignment="1">
      <alignment horizontal="center"/>
    </xf>
    <xf numFmtId="0" fontId="0" fillId="40" borderId="61" xfId="0" applyNumberFormat="1" applyFill="1" applyBorder="1" applyAlignment="1">
      <alignment horizontal="center"/>
    </xf>
    <xf numFmtId="0" fontId="56" fillId="40" borderId="83" xfId="0" applyNumberFormat="1" applyFont="1" applyFill="1" applyBorder="1"/>
    <xf numFmtId="0" fontId="56" fillId="40" borderId="61" xfId="0" applyNumberFormat="1" applyFont="1" applyFill="1" applyBorder="1"/>
    <xf numFmtId="166" fontId="16" fillId="40" borderId="92" xfId="0" applyNumberFormat="1" applyFont="1" applyFill="1" applyBorder="1"/>
    <xf numFmtId="166" fontId="0" fillId="40" borderId="30" xfId="0" applyNumberFormat="1" applyFill="1" applyBorder="1"/>
    <xf numFmtId="0" fontId="56" fillId="40" borderId="30" xfId="0" applyNumberFormat="1" applyFont="1" applyFill="1" applyBorder="1"/>
    <xf numFmtId="0" fontId="56" fillId="40" borderId="80" xfId="0" applyFont="1" applyFill="1" applyBorder="1"/>
    <xf numFmtId="0" fontId="56" fillId="40" borderId="22" xfId="0" applyFont="1" applyFill="1" applyBorder="1"/>
    <xf numFmtId="0" fontId="56" fillId="40" borderId="32" xfId="0" applyFont="1" applyFill="1" applyBorder="1"/>
    <xf numFmtId="166" fontId="0" fillId="40" borderId="80" xfId="0" applyNumberFormat="1" applyFill="1" applyBorder="1"/>
    <xf numFmtId="166" fontId="0" fillId="40" borderId="22" xfId="0" applyNumberFormat="1" applyFill="1" applyBorder="1"/>
    <xf numFmtId="0" fontId="56" fillId="40" borderId="22" xfId="0" applyNumberFormat="1" applyFont="1" applyFill="1" applyBorder="1"/>
    <xf numFmtId="0" fontId="56" fillId="40" borderId="32" xfId="0" applyNumberFormat="1" applyFont="1" applyFill="1" applyBorder="1"/>
    <xf numFmtId="166" fontId="31" fillId="40" borderId="40" xfId="0" applyNumberFormat="1" applyFont="1" applyFill="1" applyBorder="1"/>
    <xf numFmtId="166" fontId="31" fillId="40" borderId="0" xfId="0" applyNumberFormat="1" applyFont="1" applyFill="1" applyBorder="1"/>
    <xf numFmtId="166" fontId="31" fillId="40" borderId="30" xfId="0" applyNumberFormat="1" applyFont="1" applyFill="1" applyBorder="1"/>
    <xf numFmtId="166" fontId="31" fillId="40" borderId="80" xfId="0" applyNumberFormat="1" applyFont="1" applyFill="1" applyBorder="1"/>
    <xf numFmtId="166" fontId="31" fillId="40" borderId="22" xfId="0" applyNumberFormat="1" applyFont="1" applyFill="1" applyBorder="1"/>
    <xf numFmtId="166" fontId="31" fillId="40" borderId="32" xfId="0" applyNumberFormat="1" applyFont="1" applyFill="1" applyBorder="1"/>
    <xf numFmtId="0" fontId="16" fillId="27" borderId="82" xfId="0" applyFont="1" applyFill="1" applyBorder="1"/>
    <xf numFmtId="0" fontId="16" fillId="27" borderId="28" xfId="0" applyFont="1" applyFill="1" applyBorder="1"/>
    <xf numFmtId="0" fontId="16" fillId="27" borderId="48" xfId="0" applyFont="1" applyFill="1" applyBorder="1"/>
    <xf numFmtId="0" fontId="16" fillId="27" borderId="39" xfId="0" applyFont="1" applyFill="1" applyBorder="1" applyAlignment="1"/>
    <xf numFmtId="0" fontId="16" fillId="27" borderId="42" xfId="0" applyFont="1" applyFill="1" applyBorder="1" applyAlignment="1"/>
    <xf numFmtId="0" fontId="16" fillId="27" borderId="38" xfId="0" applyFont="1" applyFill="1" applyBorder="1" applyAlignment="1"/>
    <xf numFmtId="0" fontId="16" fillId="27" borderId="84" xfId="0" applyFont="1" applyFill="1" applyBorder="1" applyAlignment="1"/>
    <xf numFmtId="0" fontId="16" fillId="27" borderId="47" xfId="0" applyFont="1" applyFill="1" applyBorder="1" applyAlignment="1"/>
    <xf numFmtId="0" fontId="16" fillId="27" borderId="85" xfId="0" applyFont="1" applyFill="1" applyBorder="1" applyAlignment="1"/>
    <xf numFmtId="166" fontId="31" fillId="52" borderId="39" xfId="0" applyNumberFormat="1" applyFont="1" applyFill="1" applyBorder="1"/>
    <xf numFmtId="166" fontId="31" fillId="52" borderId="42" xfId="0" applyNumberFormat="1" applyFont="1" applyFill="1" applyBorder="1"/>
    <xf numFmtId="166" fontId="31" fillId="52" borderId="79" xfId="0" applyNumberFormat="1" applyFont="1" applyFill="1" applyBorder="1"/>
    <xf numFmtId="0" fontId="16" fillId="53" borderId="19" xfId="0" applyFont="1" applyFill="1" applyBorder="1" applyAlignment="1"/>
    <xf numFmtId="10" fontId="0" fillId="53" borderId="9" xfId="0" applyNumberFormat="1" applyFill="1" applyBorder="1"/>
    <xf numFmtId="166" fontId="0" fillId="53" borderId="14" xfId="0" applyNumberFormat="1" applyFill="1" applyBorder="1"/>
    <xf numFmtId="0" fontId="16" fillId="53" borderId="20" xfId="0" applyFont="1" applyFill="1" applyBorder="1"/>
    <xf numFmtId="0" fontId="0" fillId="53" borderId="12" xfId="0" applyFill="1" applyBorder="1"/>
    <xf numFmtId="0" fontId="0" fillId="53" borderId="21" xfId="0" applyFill="1" applyBorder="1"/>
    <xf numFmtId="10" fontId="0" fillId="0" borderId="0" xfId="0" applyNumberFormat="1" applyFont="1"/>
    <xf numFmtId="0" fontId="31" fillId="40" borderId="0" xfId="0" applyFont="1" applyFill="1" applyBorder="1" applyAlignment="1">
      <alignment horizontal="center"/>
    </xf>
    <xf numFmtId="0" fontId="31" fillId="40" borderId="22" xfId="0" applyFont="1" applyFill="1" applyBorder="1" applyAlignment="1">
      <alignment horizontal="center"/>
    </xf>
    <xf numFmtId="0" fontId="50" fillId="42" borderId="29" xfId="0" applyFont="1" applyFill="1" applyBorder="1" applyAlignment="1">
      <alignment horizontal="left"/>
    </xf>
    <xf numFmtId="175" fontId="18" fillId="0" borderId="0" xfId="0" applyNumberFormat="1" applyFont="1" applyFill="1" applyBorder="1" applyAlignment="1">
      <alignment horizontal="left"/>
    </xf>
    <xf numFmtId="175" fontId="63" fillId="28"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3"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2" borderId="29" xfId="0" applyNumberFormat="1" applyFont="1" applyFill="1" applyBorder="1" applyAlignment="1"/>
    <xf numFmtId="0" fontId="51" fillId="43" borderId="10" xfId="0" applyFont="1" applyFill="1" applyBorder="1" applyAlignment="1"/>
    <xf numFmtId="0" fontId="50" fillId="42" borderId="29" xfId="0" applyFont="1" applyFill="1" applyBorder="1" applyAlignment="1"/>
    <xf numFmtId="175" fontId="50" fillId="43"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3" borderId="30" xfId="0" applyNumberFormat="1" applyFont="1" applyFill="1" applyBorder="1" applyAlignment="1">
      <alignment wrapText="1"/>
    </xf>
    <xf numFmtId="49" fontId="2" fillId="43" borderId="30" xfId="0" applyNumberFormat="1" applyFont="1" applyFill="1" applyBorder="1" applyAlignment="1">
      <alignment horizontal="left" wrapText="1"/>
    </xf>
    <xf numFmtId="49" fontId="6" fillId="43"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29" borderId="0" xfId="0" applyFont="1" applyFill="1" applyBorder="1" applyAlignment="1">
      <alignment horizontal="center"/>
    </xf>
    <xf numFmtId="0" fontId="2" fillId="29" borderId="30" xfId="0" applyFont="1" applyFill="1" applyBorder="1" applyAlignment="1">
      <alignment horizontal="center"/>
    </xf>
    <xf numFmtId="0" fontId="5" fillId="29"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7" fillId="29" borderId="53" xfId="0" applyFont="1" applyFill="1" applyBorder="1" applyAlignment="1">
      <alignment horizontal="center"/>
    </xf>
    <xf numFmtId="0" fontId="47" fillId="29" borderId="66" xfId="0" applyFont="1" applyFill="1" applyBorder="1" applyAlignment="1">
      <alignment horizontal="center"/>
    </xf>
    <xf numFmtId="0" fontId="47" fillId="29" borderId="54" xfId="0" applyFont="1" applyFill="1" applyBorder="1" applyAlignment="1">
      <alignment horizontal="center"/>
    </xf>
    <xf numFmtId="0" fontId="45" fillId="0" borderId="0" xfId="2" applyFont="1" applyFill="1" applyAlignment="1">
      <alignment horizontal="left"/>
    </xf>
    <xf numFmtId="49" fontId="6" fillId="43"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6" borderId="56" xfId="0" applyNumberFormat="1" applyFont="1" applyFill="1" applyBorder="1" applyAlignment="1">
      <alignment horizontal="center" vertical="center"/>
    </xf>
    <xf numFmtId="49" fontId="6" fillId="26" borderId="59" xfId="0" applyNumberFormat="1" applyFont="1" applyFill="1" applyBorder="1" applyAlignment="1">
      <alignment horizontal="center" vertical="center"/>
    </xf>
    <xf numFmtId="49" fontId="6" fillId="25" borderId="3" xfId="0" applyNumberFormat="1" applyFont="1" applyFill="1" applyBorder="1" applyAlignment="1">
      <alignment horizontal="center" vertical="center"/>
    </xf>
    <xf numFmtId="0" fontId="16" fillId="26" borderId="23" xfId="0" applyFont="1" applyFill="1" applyBorder="1" applyAlignment="1">
      <alignment horizontal="center" vertical="center"/>
    </xf>
    <xf numFmtId="0" fontId="16" fillId="26"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5" borderId="159" xfId="0" applyFont="1" applyFill="1" applyBorder="1" applyAlignment="1">
      <alignment horizontal="center"/>
    </xf>
    <xf numFmtId="0" fontId="16" fillId="25" borderId="160" xfId="0" applyFont="1" applyFill="1" applyBorder="1" applyAlignment="1">
      <alignment horizontal="center"/>
    </xf>
    <xf numFmtId="0" fontId="16" fillId="47" borderId="31" xfId="0" applyFont="1" applyFill="1" applyBorder="1" applyAlignment="1">
      <alignment horizontal="center"/>
    </xf>
    <xf numFmtId="0" fontId="16" fillId="47" borderId="22" xfId="0" applyFont="1" applyFill="1" applyBorder="1" applyAlignment="1">
      <alignment horizontal="center"/>
    </xf>
    <xf numFmtId="0" fontId="16" fillId="47" borderId="32" xfId="0" applyFont="1" applyFill="1" applyBorder="1" applyAlignment="1">
      <alignment horizontal="center"/>
    </xf>
    <xf numFmtId="1" fontId="0" fillId="43" borderId="0" xfId="0" applyNumberFormat="1" applyFont="1" applyFill="1" applyBorder="1" applyAlignment="1">
      <alignment horizontal="center"/>
    </xf>
    <xf numFmtId="0" fontId="16" fillId="25" borderId="99" xfId="0" applyFont="1" applyFill="1" applyBorder="1" applyAlignment="1">
      <alignment horizontal="center"/>
    </xf>
    <xf numFmtId="0" fontId="16" fillId="25" borderId="41" xfId="0" applyFont="1" applyFill="1" applyBorder="1" applyAlignment="1">
      <alignment horizontal="center"/>
    </xf>
    <xf numFmtId="0" fontId="16" fillId="25" borderId="94" xfId="0" applyFont="1" applyFill="1" applyBorder="1" applyAlignment="1">
      <alignment horizontal="center"/>
    </xf>
    <xf numFmtId="0" fontId="16" fillId="43" borderId="27" xfId="0" applyFont="1" applyFill="1" applyBorder="1" applyAlignment="1">
      <alignment horizontal="center"/>
    </xf>
    <xf numFmtId="0" fontId="16" fillId="43" borderId="28" xfId="0" applyFont="1" applyFill="1" applyBorder="1" applyAlignment="1">
      <alignment horizontal="center"/>
    </xf>
    <xf numFmtId="9" fontId="16" fillId="43" borderId="28" xfId="0" applyNumberFormat="1" applyFont="1" applyFill="1" applyBorder="1" applyAlignment="1">
      <alignment horizontal="center"/>
    </xf>
    <xf numFmtId="0" fontId="0" fillId="43" borderId="29" xfId="0" applyFont="1" applyFill="1" applyBorder="1" applyAlignment="1">
      <alignment horizontal="center"/>
    </xf>
    <xf numFmtId="0" fontId="0" fillId="43" borderId="0" xfId="0" applyFont="1" applyFill="1" applyBorder="1" applyAlignment="1">
      <alignment horizontal="center"/>
    </xf>
    <xf numFmtId="10" fontId="0" fillId="46" borderId="22" xfId="0" applyNumberFormat="1" applyFont="1" applyFill="1" applyBorder="1" applyAlignment="1">
      <alignment horizontal="center"/>
    </xf>
    <xf numFmtId="0" fontId="16" fillId="49" borderId="56" xfId="0" applyFont="1" applyFill="1" applyBorder="1" applyAlignment="1"/>
    <xf numFmtId="0" fontId="16" fillId="49" borderId="57" xfId="0" applyFont="1" applyFill="1" applyBorder="1" applyAlignment="1"/>
    <xf numFmtId="10" fontId="0" fillId="46" borderId="31" xfId="0" applyNumberFormat="1" applyFont="1" applyFill="1" applyBorder="1" applyAlignment="1">
      <alignment horizontal="center"/>
    </xf>
    <xf numFmtId="0" fontId="16" fillId="46" borderId="29" xfId="0" applyFont="1" applyFill="1" applyBorder="1" applyAlignment="1">
      <alignment horizontal="center"/>
    </xf>
    <xf numFmtId="0" fontId="16" fillId="46" borderId="0" xfId="0" applyFont="1" applyFill="1" applyBorder="1" applyAlignment="1">
      <alignment horizontal="center"/>
    </xf>
    <xf numFmtId="9" fontId="16" fillId="46" borderId="0" xfId="0" applyNumberFormat="1" applyFont="1" applyFill="1" applyBorder="1" applyAlignment="1">
      <alignment horizontal="center"/>
    </xf>
    <xf numFmtId="0" fontId="0" fillId="42" borderId="29" xfId="0" applyFont="1" applyFill="1" applyBorder="1" applyAlignment="1"/>
    <xf numFmtId="0" fontId="0" fillId="42" borderId="17" xfId="0" applyFont="1" applyFill="1" applyBorder="1" applyAlignment="1"/>
    <xf numFmtId="0" fontId="16" fillId="50" borderId="56" xfId="0" applyFont="1" applyFill="1" applyBorder="1" applyAlignment="1"/>
    <xf numFmtId="0" fontId="16" fillId="50" borderId="57" xfId="0" applyFont="1" applyFill="1" applyBorder="1" applyAlignment="1"/>
    <xf numFmtId="0" fontId="0" fillId="47" borderId="31" xfId="0" applyFill="1" applyBorder="1" applyAlignment="1"/>
    <xf numFmtId="0" fontId="0" fillId="47" borderId="157" xfId="0" applyFont="1" applyFill="1" applyBorder="1" applyAlignment="1"/>
    <xf numFmtId="0" fontId="0" fillId="47" borderId="29" xfId="0" applyFont="1" applyFill="1" applyBorder="1" applyAlignment="1"/>
    <xf numFmtId="0" fontId="0" fillId="47" borderId="17" xfId="0" applyFont="1" applyFill="1" applyBorder="1" applyAlignment="1"/>
    <xf numFmtId="10" fontId="16" fillId="0" borderId="29" xfId="0" applyNumberFormat="1" applyFont="1" applyFill="1" applyBorder="1" applyAlignment="1">
      <alignment horizontal="right"/>
    </xf>
    <xf numFmtId="10" fontId="0" fillId="43" borderId="0" xfId="0" applyNumberFormat="1" applyFont="1" applyFill="1" applyBorder="1" applyAlignment="1">
      <alignment horizontal="center"/>
    </xf>
    <xf numFmtId="0" fontId="0" fillId="42" borderId="29" xfId="0" applyFill="1" applyBorder="1" applyAlignment="1"/>
    <xf numFmtId="0" fontId="0" fillId="46" borderId="0" xfId="0" applyFill="1" applyBorder="1" applyAlignment="1"/>
    <xf numFmtId="0" fontId="0" fillId="43"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5" borderId="68" xfId="0" applyFont="1" applyFill="1" applyBorder="1" applyAlignment="1">
      <alignment horizontal="center"/>
    </xf>
    <xf numFmtId="0" fontId="16" fillId="25" borderId="140" xfId="0" applyFont="1" applyFill="1" applyBorder="1" applyAlignment="1">
      <alignment horizontal="center"/>
    </xf>
    <xf numFmtId="0" fontId="16" fillId="25" borderId="158" xfId="0" applyFont="1" applyFill="1" applyBorder="1" applyAlignment="1">
      <alignment horizontal="center"/>
    </xf>
    <xf numFmtId="10" fontId="16" fillId="40" borderId="155" xfId="0" applyNumberFormat="1" applyFont="1" applyFill="1" applyBorder="1" applyAlignment="1">
      <alignment horizontal="left"/>
    </xf>
    <xf numFmtId="0" fontId="31" fillId="40" borderId="156" xfId="0" applyFont="1" applyFill="1" applyBorder="1" applyAlignment="1"/>
    <xf numFmtId="0" fontId="31" fillId="40" borderId="40" xfId="0" applyFont="1" applyFill="1" applyBorder="1" applyAlignment="1"/>
    <xf numFmtId="0" fontId="4" fillId="40" borderId="108" xfId="0" applyFont="1" applyFill="1" applyBorder="1" applyAlignment="1">
      <alignment horizontal="center" vertical="center"/>
    </xf>
    <xf numFmtId="0" fontId="4" fillId="40" borderId="31" xfId="0" applyFont="1" applyFill="1" applyBorder="1" applyAlignment="1">
      <alignment horizontal="center" vertical="center"/>
    </xf>
    <xf numFmtId="2" fontId="16" fillId="40" borderId="28" xfId="0" applyNumberFormat="1" applyFont="1" applyFill="1" applyBorder="1" applyAlignment="1">
      <alignment horizontal="center"/>
    </xf>
    <xf numFmtId="2" fontId="16" fillId="40" borderId="48" xfId="0" applyNumberFormat="1" applyFont="1" applyFill="1" applyBorder="1" applyAlignment="1">
      <alignment horizontal="center"/>
    </xf>
    <xf numFmtId="0" fontId="16" fillId="27" borderId="99" xfId="0" applyFont="1" applyFill="1" applyBorder="1" applyAlignment="1">
      <alignment horizontal="center"/>
    </xf>
    <xf numFmtId="0" fontId="31" fillId="27" borderId="94" xfId="0" applyFont="1" applyFill="1" applyBorder="1" applyAlignment="1">
      <alignment horizontal="center"/>
    </xf>
    <xf numFmtId="10" fontId="16" fillId="27" borderId="105" xfId="0" applyNumberFormat="1" applyFont="1" applyFill="1" applyBorder="1" applyAlignment="1">
      <alignment horizontal="center"/>
    </xf>
    <xf numFmtId="0" fontId="16" fillId="27" borderId="106" xfId="0" applyFont="1" applyFill="1" applyBorder="1" applyAlignment="1">
      <alignment horizontal="center"/>
    </xf>
    <xf numFmtId="0" fontId="16" fillId="27" borderId="28" xfId="0" applyFont="1" applyFill="1" applyBorder="1" applyAlignment="1">
      <alignment horizontal="center" vertical="center" wrapText="1"/>
    </xf>
    <xf numFmtId="0" fontId="0" fillId="27" borderId="48" xfId="0" applyFont="1" applyFill="1" applyBorder="1" applyAlignment="1">
      <alignment horizontal="center" vertical="center" wrapText="1"/>
    </xf>
    <xf numFmtId="0" fontId="16" fillId="27" borderId="7" xfId="0" applyFont="1" applyFill="1" applyBorder="1" applyAlignment="1">
      <alignment horizontal="center" vertical="center" wrapText="1"/>
    </xf>
    <xf numFmtId="0" fontId="0" fillId="27" borderId="110" xfId="0" applyFont="1" applyFill="1" applyBorder="1" applyAlignment="1">
      <alignment horizontal="center" vertical="center" wrapText="1"/>
    </xf>
    <xf numFmtId="2" fontId="4" fillId="40" borderId="66" xfId="0" applyNumberFormat="1" applyFont="1" applyFill="1" applyBorder="1" applyAlignment="1">
      <alignment horizontal="center" vertical="center"/>
    </xf>
    <xf numFmtId="2" fontId="53" fillId="40" borderId="111" xfId="0" applyNumberFormat="1" applyFont="1" applyFill="1" applyBorder="1" applyAlignment="1"/>
    <xf numFmtId="2" fontId="4" fillId="40" borderId="22" xfId="0" applyNumberFormat="1" applyFont="1" applyFill="1" applyBorder="1" applyAlignment="1">
      <alignment horizontal="center" vertical="center"/>
    </xf>
    <xf numFmtId="2" fontId="53" fillId="40" borderId="32" xfId="0" applyNumberFormat="1" applyFont="1" applyFill="1" applyBorder="1" applyAlignment="1"/>
    <xf numFmtId="10" fontId="16" fillId="27" borderId="99" xfId="0" applyNumberFormat="1" applyFont="1" applyFill="1" applyBorder="1" applyAlignment="1">
      <alignment horizontal="center"/>
    </xf>
    <xf numFmtId="0" fontId="16" fillId="27" borderId="41" xfId="0" applyFont="1" applyFill="1" applyBorder="1" applyAlignment="1">
      <alignment horizontal="center"/>
    </xf>
    <xf numFmtId="0" fontId="31" fillId="27" borderId="41" xfId="0" applyFont="1" applyFill="1" applyBorder="1" applyAlignment="1">
      <alignment horizontal="center"/>
    </xf>
    <xf numFmtId="10" fontId="16" fillId="40" borderId="153" xfId="0" applyNumberFormat="1" applyFont="1" applyFill="1" applyBorder="1" applyAlignment="1">
      <alignment horizontal="left"/>
    </xf>
    <xf numFmtId="0" fontId="31" fillId="40" borderId="154" xfId="0" applyFont="1" applyFill="1" applyBorder="1" applyAlignment="1"/>
    <xf numFmtId="0" fontId="31" fillId="40" borderId="84" xfId="0" applyFont="1" applyFill="1" applyBorder="1" applyAlignment="1"/>
    <xf numFmtId="0" fontId="16" fillId="43" borderId="155" xfId="0" applyFont="1" applyFill="1" applyBorder="1" applyAlignment="1">
      <alignment horizontal="left"/>
    </xf>
    <xf numFmtId="0" fontId="31" fillId="43" borderId="156" xfId="0" applyFont="1" applyFill="1" applyBorder="1" applyAlignment="1"/>
    <xf numFmtId="0" fontId="31" fillId="43" borderId="40" xfId="0" applyFont="1" applyFill="1" applyBorder="1" applyAlignment="1"/>
    <xf numFmtId="0" fontId="16" fillId="40" borderId="155" xfId="0" applyFont="1" applyFill="1" applyBorder="1" applyAlignment="1">
      <alignment horizontal="left"/>
    </xf>
    <xf numFmtId="10" fontId="16" fillId="43"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7" borderId="116" xfId="0" applyFont="1" applyFill="1" applyBorder="1" applyAlignment="1">
      <alignment horizontal="center"/>
    </xf>
    <xf numFmtId="0" fontId="31" fillId="27" borderId="61" xfId="0" applyFont="1" applyFill="1" applyBorder="1" applyAlignment="1"/>
    <xf numFmtId="0" fontId="31" fillId="27" borderId="34" xfId="0" applyFont="1" applyFill="1" applyBorder="1" applyAlignment="1"/>
    <xf numFmtId="9" fontId="16" fillId="40" borderId="47" xfId="5" applyFont="1" applyFill="1" applyBorder="1" applyAlignment="1">
      <alignment horizontal="right"/>
    </xf>
    <xf numFmtId="0" fontId="31" fillId="40" borderId="118" xfId="0" applyFont="1" applyFill="1" applyBorder="1" applyAlignment="1">
      <alignment horizontal="right"/>
    </xf>
    <xf numFmtId="9" fontId="16" fillId="43" borderId="0" xfId="5" applyFont="1" applyFill="1" applyBorder="1" applyAlignment="1">
      <alignment horizontal="right"/>
    </xf>
    <xf numFmtId="0" fontId="31" fillId="43" borderId="30" xfId="0" applyFont="1" applyFill="1" applyBorder="1" applyAlignment="1">
      <alignment horizontal="right"/>
    </xf>
    <xf numFmtId="9" fontId="16" fillId="40" borderId="0" xfId="5" applyFont="1" applyFill="1" applyBorder="1" applyAlignment="1">
      <alignment horizontal="right"/>
    </xf>
    <xf numFmtId="0" fontId="31" fillId="40" borderId="30" xfId="0" applyFont="1" applyFill="1" applyBorder="1" applyAlignment="1">
      <alignment horizontal="right"/>
    </xf>
    <xf numFmtId="0" fontId="16" fillId="41" borderId="153" xfId="0" applyFont="1" applyFill="1" applyBorder="1" applyAlignment="1">
      <alignment horizontal="left"/>
    </xf>
    <xf numFmtId="0" fontId="31" fillId="40" borderId="84" xfId="0" applyFont="1" applyFill="1" applyBorder="1" applyAlignment="1">
      <alignment horizontal="left"/>
    </xf>
    <xf numFmtId="0" fontId="6" fillId="44" borderId="29" xfId="0" applyFont="1" applyFill="1" applyBorder="1" applyAlignment="1">
      <alignment horizontal="center"/>
    </xf>
    <xf numFmtId="0" fontId="0" fillId="29"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0" borderId="29" xfId="0" applyFont="1" applyFill="1" applyBorder="1" applyAlignment="1"/>
    <xf numFmtId="0" fontId="16" fillId="40" borderId="103" xfId="0" applyFont="1" applyFill="1" applyBorder="1" applyAlignment="1"/>
    <xf numFmtId="0" fontId="16" fillId="40" borderId="31" xfId="0" applyFont="1" applyFill="1" applyBorder="1" applyAlignment="1"/>
    <xf numFmtId="0" fontId="16" fillId="40" borderId="104" xfId="0" applyFont="1" applyFill="1" applyBorder="1" applyAlignment="1"/>
    <xf numFmtId="0" fontId="16" fillId="42" borderId="155" xfId="0" applyFont="1" applyFill="1" applyBorder="1" applyAlignment="1">
      <alignment horizontal="left"/>
    </xf>
    <xf numFmtId="0" fontId="31" fillId="43" borderId="40" xfId="0" applyFont="1" applyFill="1" applyBorder="1" applyAlignment="1">
      <alignment horizontal="left"/>
    </xf>
    <xf numFmtId="0" fontId="16" fillId="41" borderId="155" xfId="0" applyFont="1" applyFill="1" applyBorder="1" applyAlignment="1">
      <alignment horizontal="left"/>
    </xf>
    <xf numFmtId="0" fontId="31" fillId="40" borderId="40" xfId="0" applyFont="1" applyFill="1" applyBorder="1" applyAlignment="1">
      <alignment horizontal="left"/>
    </xf>
    <xf numFmtId="0" fontId="16" fillId="42" borderId="151" xfId="0" applyFont="1" applyFill="1" applyBorder="1" applyAlignment="1">
      <alignment horizontal="left"/>
    </xf>
    <xf numFmtId="0" fontId="31" fillId="43" borderId="80" xfId="0" applyFont="1" applyFill="1" applyBorder="1" applyAlignment="1">
      <alignment horizontal="left"/>
    </xf>
    <xf numFmtId="0" fontId="4" fillId="27" borderId="27" xfId="0" applyFont="1" applyFill="1" applyBorder="1" applyAlignment="1">
      <alignment horizontal="center" vertical="center"/>
    </xf>
    <xf numFmtId="0" fontId="4" fillId="27" borderId="98" xfId="0" applyFont="1" applyFill="1" applyBorder="1" applyAlignment="1">
      <alignment horizontal="center" vertical="center"/>
    </xf>
    <xf numFmtId="0" fontId="16" fillId="42" borderId="17" xfId="0" applyFont="1" applyFill="1" applyBorder="1" applyAlignment="1">
      <alignment horizontal="left"/>
    </xf>
    <xf numFmtId="0" fontId="0" fillId="43" borderId="0" xfId="0" applyFill="1" applyBorder="1" applyAlignment="1">
      <alignment horizontal="left"/>
    </xf>
    <xf numFmtId="0" fontId="16" fillId="42" borderId="101" xfId="0" applyFont="1" applyFill="1" applyBorder="1" applyAlignment="1">
      <alignment horizontal="left"/>
    </xf>
    <xf numFmtId="0" fontId="0" fillId="43" borderId="100" xfId="0" applyFill="1" applyBorder="1" applyAlignment="1">
      <alignment horizontal="left"/>
    </xf>
    <xf numFmtId="0" fontId="16" fillId="42" borderId="100" xfId="0" applyFont="1" applyFill="1" applyBorder="1" applyAlignment="1">
      <alignment horizontal="left"/>
    </xf>
    <xf numFmtId="0" fontId="16" fillId="42" borderId="53" xfId="0" applyFont="1" applyFill="1" applyBorder="1" applyAlignment="1">
      <alignment horizontal="left"/>
    </xf>
    <xf numFmtId="0" fontId="0" fillId="43" borderId="66" xfId="0" applyFill="1" applyBorder="1" applyAlignment="1">
      <alignment horizontal="left"/>
    </xf>
    <xf numFmtId="0" fontId="6" fillId="29" borderId="31" xfId="0" applyFont="1" applyFill="1" applyBorder="1" applyAlignment="1">
      <alignment horizontal="center"/>
    </xf>
    <xf numFmtId="0" fontId="6" fillId="29" borderId="32" xfId="0" applyFont="1" applyFill="1" applyBorder="1" applyAlignment="1">
      <alignment horizontal="center"/>
    </xf>
    <xf numFmtId="0" fontId="16" fillId="25" borderId="2" xfId="0" applyFont="1" applyFill="1" applyBorder="1" applyAlignment="1">
      <alignment horizontal="center"/>
    </xf>
    <xf numFmtId="0" fontId="0" fillId="27" borderId="102" xfId="0" applyFill="1" applyBorder="1" applyAlignment="1">
      <alignment horizontal="center"/>
    </xf>
    <xf numFmtId="0" fontId="0" fillId="27" borderId="52" xfId="0" applyFill="1" applyBorder="1" applyAlignment="1">
      <alignment horizontal="center"/>
    </xf>
    <xf numFmtId="0" fontId="6" fillId="29" borderId="22" xfId="0" applyFont="1" applyFill="1" applyBorder="1" applyAlignment="1">
      <alignment horizontal="center"/>
    </xf>
    <xf numFmtId="0" fontId="48" fillId="29" borderId="32" xfId="0" applyFont="1" applyFill="1" applyBorder="1" applyAlignment="1">
      <alignment horizontal="center"/>
    </xf>
    <xf numFmtId="9" fontId="16" fillId="43" borderId="22" xfId="5" applyFont="1" applyFill="1" applyBorder="1" applyAlignment="1">
      <alignment horizontal="right"/>
    </xf>
    <xf numFmtId="0" fontId="31" fillId="43" borderId="32" xfId="0" applyFont="1" applyFill="1" applyBorder="1" applyAlignment="1">
      <alignment horizontal="right"/>
    </xf>
    <xf numFmtId="9" fontId="16" fillId="40" borderId="57" xfId="0" applyNumberFormat="1" applyFont="1" applyFill="1" applyBorder="1" applyAlignment="1">
      <alignment horizontal="right"/>
    </xf>
    <xf numFmtId="0" fontId="31" fillId="40" borderId="59" xfId="0" applyFont="1" applyFill="1" applyBorder="1" applyAlignment="1">
      <alignment horizontal="right"/>
    </xf>
    <xf numFmtId="0" fontId="16" fillId="41" borderId="107" xfId="0" applyFont="1" applyFill="1" applyBorder="1" applyAlignment="1">
      <alignment horizontal="left"/>
    </xf>
    <xf numFmtId="0" fontId="31" fillId="40" borderId="112" xfId="0" applyFont="1" applyFill="1" applyBorder="1" applyAlignment="1">
      <alignment horizontal="left"/>
    </xf>
    <xf numFmtId="0" fontId="31" fillId="40" borderId="22" xfId="0" applyFont="1" applyFill="1" applyBorder="1" applyAlignment="1">
      <alignment horizontal="right"/>
    </xf>
    <xf numFmtId="0" fontId="31" fillId="40" borderId="32" xfId="0" applyFont="1" applyFill="1" applyBorder="1" applyAlignment="1">
      <alignment horizontal="right"/>
    </xf>
    <xf numFmtId="0" fontId="31" fillId="40" borderId="28" xfId="0" applyFont="1" applyFill="1" applyBorder="1" applyAlignment="1">
      <alignment horizontal="right"/>
    </xf>
    <xf numFmtId="0" fontId="31" fillId="40" borderId="48" xfId="0" applyFont="1" applyFill="1" applyBorder="1" applyAlignment="1">
      <alignment horizontal="right"/>
    </xf>
    <xf numFmtId="0" fontId="6" fillId="44" borderId="0" xfId="0" applyFont="1" applyFill="1" applyBorder="1" applyAlignment="1">
      <alignment horizontal="center"/>
    </xf>
    <xf numFmtId="0" fontId="0" fillId="29" borderId="30" xfId="0" applyFont="1" applyFill="1" applyBorder="1" applyAlignment="1">
      <alignment horizontal="center"/>
    </xf>
    <xf numFmtId="0" fontId="62" fillId="29" borderId="0" xfId="0" applyFont="1" applyFill="1" applyBorder="1" applyAlignment="1">
      <alignment horizontal="center"/>
    </xf>
    <xf numFmtId="0" fontId="16" fillId="29" borderId="113" xfId="0" applyFont="1" applyFill="1" applyBorder="1" applyAlignment="1">
      <alignment horizontal="center"/>
    </xf>
    <xf numFmtId="0" fontId="0" fillId="29" borderId="109" xfId="0" applyFont="1" applyFill="1" applyBorder="1" applyAlignment="1">
      <alignment horizontal="center"/>
    </xf>
    <xf numFmtId="0" fontId="0" fillId="29" borderId="114" xfId="0" applyFont="1" applyFill="1" applyBorder="1" applyAlignment="1">
      <alignment horizontal="center"/>
    </xf>
    <xf numFmtId="0" fontId="16" fillId="29" borderId="56" xfId="0" applyFont="1" applyFill="1" applyBorder="1" applyAlignment="1">
      <alignment horizontal="center"/>
    </xf>
    <xf numFmtId="0" fontId="0" fillId="29" borderId="57" xfId="0" applyFont="1" applyFill="1" applyBorder="1" applyAlignment="1">
      <alignment horizontal="center"/>
    </xf>
    <xf numFmtId="0" fontId="0" fillId="29" borderId="59" xfId="0" applyFont="1" applyFill="1" applyBorder="1" applyAlignment="1">
      <alignment horizontal="center"/>
    </xf>
    <xf numFmtId="0" fontId="16" fillId="29" borderId="31" xfId="0" applyFont="1" applyFill="1" applyBorder="1" applyAlignment="1">
      <alignment horizontal="center"/>
    </xf>
    <xf numFmtId="0" fontId="0" fillId="29" borderId="22" xfId="0" applyFont="1" applyFill="1" applyBorder="1" applyAlignment="1">
      <alignment horizontal="center"/>
    </xf>
    <xf numFmtId="0" fontId="0" fillId="29" borderId="32" xfId="0" applyFont="1" applyFill="1" applyBorder="1" applyAlignment="1"/>
    <xf numFmtId="0" fontId="16" fillId="40" borderId="151" xfId="0" applyFont="1" applyFill="1" applyBorder="1" applyAlignment="1">
      <alignment horizontal="left"/>
    </xf>
    <xf numFmtId="0" fontId="31" fillId="40" borderId="152" xfId="0" applyFont="1" applyFill="1" applyBorder="1" applyAlignment="1"/>
    <xf numFmtId="0" fontId="31" fillId="40" borderId="80" xfId="0" applyFont="1" applyFill="1" applyBorder="1" applyAlignment="1"/>
    <xf numFmtId="0" fontId="4" fillId="27" borderId="31" xfId="0" applyFont="1" applyFill="1" applyBorder="1" applyAlignment="1">
      <alignment horizontal="center" vertical="center"/>
    </xf>
    <xf numFmtId="0" fontId="62" fillId="0" borderId="0" xfId="0" applyFont="1" applyBorder="1" applyAlignment="1">
      <alignment horizontal="center"/>
    </xf>
    <xf numFmtId="2" fontId="4" fillId="27" borderId="28" xfId="0" applyNumberFormat="1" applyFont="1" applyFill="1" applyBorder="1" applyAlignment="1">
      <alignment horizontal="center" vertical="center"/>
    </xf>
    <xf numFmtId="2" fontId="4" fillId="27" borderId="48" xfId="0" applyNumberFormat="1" applyFont="1" applyFill="1" applyBorder="1" applyAlignment="1">
      <alignment horizontal="center" vertical="center"/>
    </xf>
    <xf numFmtId="2" fontId="4" fillId="27" borderId="22" xfId="0" applyNumberFormat="1" applyFont="1" applyFill="1" applyBorder="1" applyAlignment="1">
      <alignment horizontal="center" vertical="center"/>
    </xf>
    <xf numFmtId="2" fontId="4" fillId="27"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7" borderId="39" xfId="0" applyNumberFormat="1" applyFont="1" applyFill="1" applyBorder="1" applyAlignment="1">
      <alignment horizontal="center"/>
    </xf>
    <xf numFmtId="2" fontId="16" fillId="27" borderId="38" xfId="0" applyNumberFormat="1" applyFont="1" applyFill="1" applyBorder="1" applyAlignment="1">
      <alignment horizontal="center"/>
    </xf>
    <xf numFmtId="2" fontId="19" fillId="40" borderId="84" xfId="0" applyNumberFormat="1" applyFont="1" applyFill="1" applyBorder="1" applyAlignment="1">
      <alignment horizontal="center"/>
    </xf>
    <xf numFmtId="2" fontId="19" fillId="40" borderId="85" xfId="0" applyNumberFormat="1" applyFont="1" applyFill="1" applyBorder="1" applyAlignment="1">
      <alignment horizontal="center"/>
    </xf>
    <xf numFmtId="0" fontId="16" fillId="52" borderId="99" xfId="0" applyNumberFormat="1" applyFont="1" applyFill="1" applyBorder="1" applyAlignment="1">
      <alignment horizontal="center"/>
    </xf>
    <xf numFmtId="0" fontId="16" fillId="52" borderId="161" xfId="0" applyNumberFormat="1" applyFont="1" applyFill="1" applyBorder="1" applyAlignment="1">
      <alignment horizontal="center"/>
    </xf>
    <xf numFmtId="2" fontId="16" fillId="40" borderId="115" xfId="0" applyNumberFormat="1" applyFont="1" applyFill="1" applyBorder="1" applyAlignment="1">
      <alignment horizontal="center" wrapText="1"/>
    </xf>
    <xf numFmtId="2" fontId="16" fillId="40" borderId="29" xfId="0" applyNumberFormat="1" applyFont="1" applyFill="1" applyBorder="1" applyAlignment="1">
      <alignment horizontal="center" wrapText="1"/>
    </xf>
    <xf numFmtId="2" fontId="16" fillId="40" borderId="31" xfId="0" applyNumberFormat="1" applyFont="1" applyFill="1" applyBorder="1" applyAlignment="1">
      <alignment horizontal="center" wrapText="1"/>
    </xf>
    <xf numFmtId="2" fontId="16" fillId="52" borderId="117" xfId="0" applyNumberFormat="1" applyFont="1" applyFill="1" applyBorder="1" applyAlignment="1">
      <alignment horizontal="center"/>
    </xf>
    <xf numFmtId="2" fontId="16" fillId="52" borderId="38" xfId="0" applyNumberFormat="1" applyFont="1" applyFill="1" applyBorder="1" applyAlignment="1">
      <alignment horizontal="center"/>
    </xf>
    <xf numFmtId="2" fontId="16" fillId="27" borderId="99" xfId="0" applyNumberFormat="1" applyFont="1" applyFill="1" applyBorder="1" applyAlignment="1">
      <alignment horizontal="center"/>
    </xf>
    <xf numFmtId="2" fontId="16" fillId="27" borderId="161" xfId="0" applyNumberFormat="1" applyFont="1" applyFill="1" applyBorder="1" applyAlignment="1">
      <alignment horizontal="center"/>
    </xf>
    <xf numFmtId="2" fontId="19" fillId="46" borderId="84" xfId="0" applyNumberFormat="1" applyFont="1" applyFill="1" applyBorder="1" applyAlignment="1">
      <alignment horizontal="center"/>
    </xf>
    <xf numFmtId="2" fontId="19" fillId="46"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1" t="s">
        <v>3241</v>
      </c>
      <c r="C12" s="1382" t="s">
        <v>1896</v>
      </c>
    </row>
    <row r="13" spans="1:256">
      <c r="B13" s="1407" t="s">
        <v>2325</v>
      </c>
      <c r="C13" s="1383" t="s">
        <v>3225</v>
      </c>
    </row>
    <row r="14" spans="1:256" ht="22.5">
      <c r="B14" s="1407"/>
      <c r="C14" s="1383" t="s">
        <v>3226</v>
      </c>
    </row>
    <row r="15" spans="1:256" ht="22.5">
      <c r="B15" s="1407"/>
      <c r="C15" s="1383" t="s">
        <v>3227</v>
      </c>
    </row>
    <row r="16" spans="1:256">
      <c r="B16" s="1407"/>
      <c r="C16" s="1383" t="s">
        <v>3228</v>
      </c>
    </row>
    <row r="17" spans="2:3">
      <c r="B17" s="1407"/>
      <c r="C17" s="1383" t="s">
        <v>1898</v>
      </c>
    </row>
    <row r="18" spans="2:3" ht="35.25" customHeight="1">
      <c r="B18" s="1407"/>
      <c r="C18" s="1384" t="s">
        <v>3229</v>
      </c>
    </row>
    <row r="19" spans="2:3" ht="22.5">
      <c r="B19" s="1407"/>
      <c r="C19" s="1383" t="s">
        <v>3230</v>
      </c>
    </row>
    <row r="20" spans="2:3" ht="56.25">
      <c r="B20" s="1407"/>
      <c r="C20" s="1383" t="s">
        <v>3231</v>
      </c>
    </row>
    <row r="21" spans="2:3">
      <c r="B21" s="1408" t="s">
        <v>1897</v>
      </c>
      <c r="C21" s="1377" t="s">
        <v>3239</v>
      </c>
    </row>
    <row r="22" spans="2:3" ht="22.5">
      <c r="B22" s="1408"/>
      <c r="C22" s="1376" t="s">
        <v>3232</v>
      </c>
    </row>
    <row r="23" spans="2:3" ht="33.75">
      <c r="B23" s="1408"/>
      <c r="C23" s="1376" t="s">
        <v>3233</v>
      </c>
    </row>
    <row r="24" spans="2:3" ht="22.5">
      <c r="B24" s="1385" t="s">
        <v>3236</v>
      </c>
      <c r="C24" s="1383" t="s">
        <v>3240</v>
      </c>
    </row>
    <row r="25" spans="2:3" ht="27" customHeight="1">
      <c r="B25" s="1378" t="s">
        <v>3237</v>
      </c>
      <c r="C25" s="1376" t="s">
        <v>3238</v>
      </c>
    </row>
    <row r="26" spans="2:3" ht="22.5">
      <c r="B26" s="1385" t="s">
        <v>2326</v>
      </c>
      <c r="C26" s="1383" t="s">
        <v>3234</v>
      </c>
    </row>
    <row r="27" spans="2:3" ht="23.25" thickBot="1">
      <c r="B27" s="1379" t="s">
        <v>3041</v>
      </c>
      <c r="C27" s="1380"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9"/>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3283</v>
      </c>
    </row>
    <row r="9" spans="1:2">
      <c r="B9" s="9" t="s">
        <v>3274</v>
      </c>
    </row>
    <row r="10" spans="1:2">
      <c r="B10" s="9" t="s">
        <v>3280</v>
      </c>
    </row>
    <row r="11" spans="1:2">
      <c r="B11" s="9" t="s">
        <v>3282</v>
      </c>
    </row>
    <row r="12" spans="1:2">
      <c r="A12" s="9" t="s">
        <v>1856</v>
      </c>
      <c r="B12" s="9" t="s">
        <v>3279</v>
      </c>
    </row>
    <row r="13" spans="1:2">
      <c r="A13" s="2"/>
      <c r="B13" s="9" t="s">
        <v>3244</v>
      </c>
    </row>
    <row r="14" spans="1:2">
      <c r="B14" s="9" t="s">
        <v>3250</v>
      </c>
    </row>
    <row r="15" spans="1:2">
      <c r="B15" s="9" t="s">
        <v>3278</v>
      </c>
    </row>
    <row r="16" spans="1:2">
      <c r="B16" s="9" t="s">
        <v>3275</v>
      </c>
    </row>
    <row r="17" spans="1:2">
      <c r="B17" s="9" t="s">
        <v>3251</v>
      </c>
    </row>
    <row r="18" spans="1:2">
      <c r="B18" s="9" t="s">
        <v>3248</v>
      </c>
    </row>
    <row r="19" spans="1:2">
      <c r="B19" s="9" t="s">
        <v>3252</v>
      </c>
    </row>
    <row r="20" spans="1:2">
      <c r="B20" s="9" t="s">
        <v>3277</v>
      </c>
    </row>
    <row r="21" spans="1:2">
      <c r="B21" s="9" t="s">
        <v>3281</v>
      </c>
    </row>
    <row r="23" spans="1:2">
      <c r="A23" s="9" t="s">
        <v>3202</v>
      </c>
      <c r="B23" s="9" t="s">
        <v>2329</v>
      </c>
    </row>
    <row r="24" spans="1:2">
      <c r="A24" s="9" t="s">
        <v>2214</v>
      </c>
      <c r="B24" s="9" t="s">
        <v>3006</v>
      </c>
    </row>
    <row r="25" spans="1:2">
      <c r="B25" s="9" t="s">
        <v>3005</v>
      </c>
    </row>
    <row r="26" spans="1:2">
      <c r="B26" s="48" t="s">
        <v>2405</v>
      </c>
    </row>
    <row r="27" spans="1:2">
      <c r="B27" s="647" t="s">
        <v>2410</v>
      </c>
    </row>
    <row r="28" spans="1:2">
      <c r="B28" s="647" t="s">
        <v>2988</v>
      </c>
    </row>
    <row r="29" spans="1:2">
      <c r="B29" s="647" t="s">
        <v>2859</v>
      </c>
    </row>
    <row r="30" spans="1:2">
      <c r="B30" s="647" t="s">
        <v>3020</v>
      </c>
    </row>
    <row r="31" spans="1:2">
      <c r="B31" s="647" t="s">
        <v>3035</v>
      </c>
    </row>
    <row r="32" spans="1:2">
      <c r="A32" s="2"/>
      <c r="B32" s="647" t="s">
        <v>2866</v>
      </c>
    </row>
    <row r="33" spans="1:2">
      <c r="A33" s="2"/>
      <c r="B33" s="647" t="s">
        <v>3036</v>
      </c>
    </row>
    <row r="34" spans="1:2">
      <c r="B34" s="647" t="s">
        <v>2885</v>
      </c>
    </row>
    <row r="35" spans="1:2">
      <c r="A35" s="9" t="s">
        <v>1583</v>
      </c>
      <c r="B35" s="9" t="s">
        <v>2330</v>
      </c>
    </row>
    <row r="36" spans="1:2">
      <c r="B36" s="9" t="s">
        <v>2406</v>
      </c>
    </row>
    <row r="37" spans="1:2">
      <c r="B37" s="9" t="s">
        <v>2422</v>
      </c>
    </row>
    <row r="38" spans="1:2">
      <c r="B38" s="9" t="s">
        <v>2860</v>
      </c>
    </row>
    <row r="39" spans="1:2">
      <c r="B39" s="9" t="s">
        <v>2876</v>
      </c>
    </row>
    <row r="40" spans="1:2">
      <c r="B40" s="9" t="s">
        <v>2879</v>
      </c>
    </row>
    <row r="41" spans="1:2">
      <c r="B41" s="9" t="s">
        <v>2984</v>
      </c>
    </row>
    <row r="42" spans="1:2">
      <c r="B42" s="9" t="s">
        <v>2985</v>
      </c>
    </row>
    <row r="43" spans="1:2">
      <c r="B43" s="9" t="s">
        <v>3015</v>
      </c>
    </row>
    <row r="44" spans="1:2">
      <c r="B44" s="9" t="s">
        <v>3016</v>
      </c>
    </row>
    <row r="45" spans="1:2">
      <c r="B45" s="9" t="s">
        <v>3017</v>
      </c>
    </row>
    <row r="46" spans="1:2">
      <c r="B46" s="9" t="s">
        <v>2986</v>
      </c>
    </row>
    <row r="47" spans="1:2">
      <c r="A47" s="9" t="s">
        <v>1856</v>
      </c>
      <c r="B47" s="9" t="s">
        <v>2987</v>
      </c>
    </row>
    <row r="48" spans="1:2">
      <c r="B48" s="9" t="s">
        <v>2864</v>
      </c>
    </row>
    <row r="49" spans="1:2">
      <c r="A49" s="9" t="s">
        <v>2070</v>
      </c>
      <c r="B49" s="9" t="s">
        <v>2332</v>
      </c>
    </row>
    <row r="50" spans="1:2">
      <c r="B50" s="9" t="s">
        <v>2421</v>
      </c>
    </row>
    <row r="52" spans="1:2">
      <c r="A52" s="9" t="s">
        <v>1850</v>
      </c>
    </row>
    <row r="53" spans="1:2">
      <c r="A53" s="9" t="s">
        <v>2331</v>
      </c>
    </row>
    <row r="54" spans="1:2">
      <c r="A54" s="9" t="s">
        <v>311</v>
      </c>
      <c r="B54" s="9" t="s">
        <v>2040</v>
      </c>
    </row>
    <row r="55" spans="1:2">
      <c r="A55" s="9" t="s">
        <v>2214</v>
      </c>
      <c r="B55" s="9" t="s">
        <v>1442</v>
      </c>
    </row>
    <row r="56" spans="1:2">
      <c r="B56" s="9" t="s">
        <v>1441</v>
      </c>
    </row>
    <row r="57" spans="1:2">
      <c r="B57" s="9" t="s">
        <v>65</v>
      </c>
    </row>
    <row r="58" spans="1:2">
      <c r="B58" s="9" t="s">
        <v>62</v>
      </c>
    </row>
    <row r="59" spans="1:2">
      <c r="B59" s="9" t="s">
        <v>60</v>
      </c>
    </row>
    <row r="60" spans="1:2">
      <c r="B60" s="9" t="s">
        <v>61</v>
      </c>
    </row>
    <row r="61" spans="1:2">
      <c r="B61" s="9" t="s">
        <v>64</v>
      </c>
    </row>
    <row r="62" spans="1:2">
      <c r="B62" s="9" t="s">
        <v>1729</v>
      </c>
    </row>
    <row r="63" spans="1:2">
      <c r="B63" s="9" t="s">
        <v>69</v>
      </c>
    </row>
    <row r="64" spans="1:2">
      <c r="B64" s="2" t="s">
        <v>2162</v>
      </c>
    </row>
    <row r="65" spans="1:2">
      <c r="B65" s="2" t="s">
        <v>2163</v>
      </c>
    </row>
    <row r="66" spans="1:2">
      <c r="B66" s="2" t="s">
        <v>67</v>
      </c>
    </row>
    <row r="67" spans="1:2">
      <c r="B67" s="9" t="s">
        <v>68</v>
      </c>
    </row>
    <row r="68" spans="1:2">
      <c r="B68" s="9" t="s">
        <v>1728</v>
      </c>
    </row>
    <row r="69" spans="1:2">
      <c r="B69" s="9" t="s">
        <v>73</v>
      </c>
    </row>
    <row r="70" spans="1:2">
      <c r="B70" s="9" t="s">
        <v>2164</v>
      </c>
    </row>
    <row r="71" spans="1:2">
      <c r="B71" s="9" t="s">
        <v>70</v>
      </c>
    </row>
    <row r="72" spans="1:2">
      <c r="B72" s="9" t="s">
        <v>2159</v>
      </c>
    </row>
    <row r="73" spans="1:2">
      <c r="B73" s="9" t="s">
        <v>789</v>
      </c>
    </row>
    <row r="74" spans="1:2">
      <c r="A74" s="9" t="s">
        <v>1856</v>
      </c>
      <c r="B74" s="9" t="s">
        <v>71</v>
      </c>
    </row>
    <row r="75" spans="1:2">
      <c r="B75" s="9" t="s">
        <v>1443</v>
      </c>
    </row>
    <row r="76" spans="1:2">
      <c r="B76" s="9" t="s">
        <v>66</v>
      </c>
    </row>
    <row r="77" spans="1:2">
      <c r="B77" s="9" t="s">
        <v>1730</v>
      </c>
    </row>
    <row r="78" spans="1:2">
      <c r="B78" s="9" t="s">
        <v>305</v>
      </c>
    </row>
    <row r="79" spans="1:2">
      <c r="B79" s="9" t="s">
        <v>787</v>
      </c>
    </row>
    <row r="80" spans="1:2">
      <c r="B80" s="9" t="s">
        <v>788</v>
      </c>
    </row>
    <row r="81" spans="1:2">
      <c r="B81" s="9" t="s">
        <v>1557</v>
      </c>
    </row>
    <row r="82" spans="1:2">
      <c r="B82" s="9" t="s">
        <v>1756</v>
      </c>
    </row>
    <row r="83" spans="1:2">
      <c r="B83" s="9" t="s">
        <v>309</v>
      </c>
    </row>
    <row r="84" spans="1:2">
      <c r="B84" s="9" t="s">
        <v>310</v>
      </c>
    </row>
    <row r="86" spans="1:2">
      <c r="A86" s="9" t="s">
        <v>2202</v>
      </c>
      <c r="B86" s="9" t="s">
        <v>790</v>
      </c>
    </row>
    <row r="87" spans="1:2">
      <c r="A87" s="9" t="s">
        <v>2214</v>
      </c>
      <c r="B87" s="9" t="s">
        <v>1987</v>
      </c>
    </row>
    <row r="88" spans="1:2">
      <c r="A88" s="2"/>
      <c r="B88" s="9" t="s">
        <v>1833</v>
      </c>
    </row>
    <row r="89" spans="1:2">
      <c r="B89" s="9" t="s">
        <v>408</v>
      </c>
    </row>
    <row r="90" spans="1:2">
      <c r="B90" s="9" t="s">
        <v>1732</v>
      </c>
    </row>
    <row r="91" spans="1:2">
      <c r="A91" s="9" t="s">
        <v>1583</v>
      </c>
      <c r="B91" s="9" t="s">
        <v>1237</v>
      </c>
    </row>
    <row r="92" spans="1:2">
      <c r="B92" s="9" t="s">
        <v>1676</v>
      </c>
    </row>
    <row r="93" spans="1:2">
      <c r="B93" s="9" t="s">
        <v>602</v>
      </c>
    </row>
    <row r="94" spans="1:2">
      <c r="B94" s="9" t="s">
        <v>2203</v>
      </c>
    </row>
    <row r="95" spans="1:2">
      <c r="B95" s="9" t="s">
        <v>37</v>
      </c>
    </row>
    <row r="96" spans="1:2">
      <c r="B96" s="9" t="s">
        <v>2006</v>
      </c>
    </row>
    <row r="97" spans="1:2">
      <c r="B97" s="9" t="s">
        <v>2236</v>
      </c>
    </row>
    <row r="98" spans="1:2">
      <c r="B98" s="9" t="s">
        <v>2235</v>
      </c>
    </row>
    <row r="99" spans="1:2">
      <c r="B99" s="9" t="s">
        <v>2239</v>
      </c>
    </row>
    <row r="100" spans="1:2">
      <c r="A100" s="9" t="s">
        <v>1856</v>
      </c>
      <c r="B100" s="9" t="s">
        <v>1236</v>
      </c>
    </row>
    <row r="101" spans="1:2">
      <c r="B101" s="9" t="s">
        <v>1238</v>
      </c>
    </row>
    <row r="102" spans="1:2">
      <c r="B102" s="9" t="s">
        <v>1239</v>
      </c>
    </row>
    <row r="103" spans="1:2">
      <c r="B103" s="9" t="s">
        <v>1240</v>
      </c>
    </row>
    <row r="104" spans="1:2">
      <c r="B104" s="9" t="s">
        <v>441</v>
      </c>
    </row>
    <row r="105" spans="1:2">
      <c r="B105" s="9" t="s">
        <v>406</v>
      </c>
    </row>
    <row r="106" spans="1:2">
      <c r="B106" s="9" t="s">
        <v>2012</v>
      </c>
    </row>
    <row r="107" spans="1:2">
      <c r="B107" s="9" t="s">
        <v>2313</v>
      </c>
    </row>
    <row r="108" spans="1:2">
      <c r="B108" s="9" t="s">
        <v>2314</v>
      </c>
    </row>
    <row r="109" spans="1:2">
      <c r="B109" s="9" t="s">
        <v>1249</v>
      </c>
    </row>
    <row r="110" spans="1:2">
      <c r="B110" s="9" t="s">
        <v>1731</v>
      </c>
    </row>
    <row r="111" spans="1:2">
      <c r="B111" s="9" t="s">
        <v>1909</v>
      </c>
    </row>
    <row r="112" spans="1:2">
      <c r="B112" s="9" t="s">
        <v>1910</v>
      </c>
    </row>
    <row r="113" spans="1:2">
      <c r="B113" s="9" t="s">
        <v>2233</v>
      </c>
    </row>
    <row r="114" spans="1:2">
      <c r="B114" s="9" t="s">
        <v>1110</v>
      </c>
    </row>
    <row r="115" spans="1:2">
      <c r="B115" s="9" t="s">
        <v>1111</v>
      </c>
    </row>
    <row r="117" spans="1:2">
      <c r="A117" s="9" t="s">
        <v>623</v>
      </c>
      <c r="B117" s="9" t="s">
        <v>790</v>
      </c>
    </row>
    <row r="118" spans="1:2">
      <c r="A118" s="9" t="s">
        <v>2214</v>
      </c>
      <c r="B118" s="9" t="s">
        <v>622</v>
      </c>
    </row>
    <row r="119" spans="1:2">
      <c r="A119" s="9" t="s">
        <v>1583</v>
      </c>
      <c r="B119" s="9" t="s">
        <v>431</v>
      </c>
    </row>
    <row r="120" spans="1:2">
      <c r="B120" s="9" t="s">
        <v>2266</v>
      </c>
    </row>
    <row r="121" spans="1:2">
      <c r="B121" s="9" t="s">
        <v>2058</v>
      </c>
    </row>
    <row r="122" spans="1:2">
      <c r="B122" s="9" t="s">
        <v>2062</v>
      </c>
    </row>
    <row r="123" spans="1:2">
      <c r="B123" s="9" t="s">
        <v>621</v>
      </c>
    </row>
    <row r="124" spans="1:2">
      <c r="B124" s="9" t="s">
        <v>624</v>
      </c>
    </row>
    <row r="125" spans="1:2">
      <c r="A125" s="9" t="s">
        <v>1856</v>
      </c>
      <c r="B125" s="9" t="s">
        <v>1879</v>
      </c>
    </row>
    <row r="126" spans="1:2">
      <c r="B126" s="9" t="s">
        <v>1880</v>
      </c>
    </row>
    <row r="127" spans="1:2">
      <c r="B127" s="9" t="s">
        <v>430</v>
      </c>
    </row>
    <row r="128" spans="1:2">
      <c r="B128" s="9" t="s">
        <v>2264</v>
      </c>
    </row>
    <row r="130" spans="1:2">
      <c r="A130" s="9" t="s">
        <v>1743</v>
      </c>
      <c r="B130" s="9" t="s">
        <v>790</v>
      </c>
    </row>
    <row r="131" spans="1:2">
      <c r="A131" s="9" t="s">
        <v>2214</v>
      </c>
      <c r="B131" s="9" t="s">
        <v>1874</v>
      </c>
    </row>
    <row r="132" spans="1:2">
      <c r="A132" s="2"/>
      <c r="B132" s="9" t="s">
        <v>83</v>
      </c>
    </row>
    <row r="133" spans="1:2">
      <c r="A133" s="2"/>
      <c r="B133" s="9" t="s">
        <v>1260</v>
      </c>
    </row>
    <row r="134" spans="1:2">
      <c r="B134" s="9" t="s">
        <v>79</v>
      </c>
    </row>
    <row r="135" spans="1:2">
      <c r="B135" s="9" t="s">
        <v>1859</v>
      </c>
    </row>
    <row r="136" spans="1:2">
      <c r="B136" s="9" t="s">
        <v>1864</v>
      </c>
    </row>
    <row r="137" spans="1:2">
      <c r="B137" s="9" t="s">
        <v>1860</v>
      </c>
    </row>
    <row r="138" spans="1:2">
      <c r="B138" s="9" t="s">
        <v>1865</v>
      </c>
    </row>
    <row r="139" spans="1:2">
      <c r="B139" s="9" t="s">
        <v>85</v>
      </c>
    </row>
    <row r="140" spans="1:2">
      <c r="B140" s="9" t="s">
        <v>1867</v>
      </c>
    </row>
    <row r="141" spans="1:2">
      <c r="A141" s="2"/>
      <c r="B141" s="9" t="s">
        <v>77</v>
      </c>
    </row>
    <row r="142" spans="1:2">
      <c r="B142" s="9" t="s">
        <v>78</v>
      </c>
    </row>
    <row r="143" spans="1:2">
      <c r="B143" s="9" t="s">
        <v>1261</v>
      </c>
    </row>
    <row r="144" spans="1:2">
      <c r="B144" s="9" t="s">
        <v>1262</v>
      </c>
    </row>
    <row r="145" spans="1:2">
      <c r="B145" s="9" t="s">
        <v>82</v>
      </c>
    </row>
    <row r="146" spans="1:2">
      <c r="B146" s="9" t="s">
        <v>1259</v>
      </c>
    </row>
    <row r="147" spans="1:2">
      <c r="B147" s="9" t="s">
        <v>1553</v>
      </c>
    </row>
    <row r="148" spans="1:2">
      <c r="B148" s="9" t="s">
        <v>1554</v>
      </c>
    </row>
    <row r="149" spans="1:2">
      <c r="B149" s="9" t="s">
        <v>1861</v>
      </c>
    </row>
    <row r="150" spans="1:2">
      <c r="B150" s="9" t="s">
        <v>1870</v>
      </c>
    </row>
    <row r="151" spans="1:2">
      <c r="B151" s="9" t="s">
        <v>1873</v>
      </c>
    </row>
    <row r="152" spans="1:2">
      <c r="B152" s="9" t="s">
        <v>1869</v>
      </c>
    </row>
    <row r="153" spans="1:2">
      <c r="B153" s="9" t="s">
        <v>28</v>
      </c>
    </row>
    <row r="154" spans="1:2">
      <c r="B154" s="9" t="s">
        <v>38</v>
      </c>
    </row>
    <row r="155" spans="1:2">
      <c r="B155" s="9" t="s">
        <v>39</v>
      </c>
    </row>
    <row r="156" spans="1:2">
      <c r="B156" s="9" t="s">
        <v>1742</v>
      </c>
    </row>
    <row r="157" spans="1:2">
      <c r="B157" s="9" t="s">
        <v>103</v>
      </c>
    </row>
    <row r="158" spans="1:2">
      <c r="B158" s="9" t="s">
        <v>106</v>
      </c>
    </row>
    <row r="159" spans="1:2">
      <c r="B159" s="9" t="s">
        <v>1558</v>
      </c>
    </row>
    <row r="160" spans="1:2">
      <c r="A160" s="9" t="s">
        <v>1583</v>
      </c>
      <c r="B160" s="9" t="s">
        <v>1591</v>
      </c>
    </row>
    <row r="161" spans="1:2">
      <c r="B161" s="9" t="s">
        <v>864</v>
      </c>
    </row>
    <row r="162" spans="1:2">
      <c r="B162" s="9" t="s">
        <v>2295</v>
      </c>
    </row>
    <row r="163" spans="1:2">
      <c r="B163" s="9" t="s">
        <v>421</v>
      </c>
    </row>
    <row r="164" spans="1:2">
      <c r="B164" s="9" t="s">
        <v>958</v>
      </c>
    </row>
    <row r="165" spans="1:2">
      <c r="B165" s="9" t="s">
        <v>1135</v>
      </c>
    </row>
    <row r="166" spans="1:2">
      <c r="B166" s="9" t="s">
        <v>865</v>
      </c>
    </row>
    <row r="167" spans="1:2">
      <c r="B167" s="9" t="s">
        <v>94</v>
      </c>
    </row>
    <row r="168" spans="1:2">
      <c r="B168" s="9" t="s">
        <v>96</v>
      </c>
    </row>
    <row r="169" spans="1:2">
      <c r="B169" s="9" t="s">
        <v>1559</v>
      </c>
    </row>
    <row r="170" spans="1:2">
      <c r="A170" s="9" t="s">
        <v>1856</v>
      </c>
      <c r="B170" s="9" t="s">
        <v>1622</v>
      </c>
    </row>
    <row r="171" spans="1:2">
      <c r="B171" s="9" t="s">
        <v>2014</v>
      </c>
    </row>
    <row r="172" spans="1:2">
      <c r="B172" s="9" t="s">
        <v>2015</v>
      </c>
    </row>
    <row r="173" spans="1:2">
      <c r="B173" s="9" t="s">
        <v>99</v>
      </c>
    </row>
    <row r="174" spans="1:2">
      <c r="A174" s="9" t="s">
        <v>2070</v>
      </c>
      <c r="B174" s="9" t="s">
        <v>810</v>
      </c>
    </row>
    <row r="177" spans="1:2">
      <c r="A177" s="9" t="s">
        <v>809</v>
      </c>
      <c r="B177" s="9" t="s">
        <v>790</v>
      </c>
    </row>
    <row r="178" spans="1:2">
      <c r="A178" s="9" t="s">
        <v>1583</v>
      </c>
      <c r="B178" s="9" t="s">
        <v>2260</v>
      </c>
    </row>
    <row r="179" spans="1:2">
      <c r="B179" s="9" t="s">
        <v>2261</v>
      </c>
    </row>
    <row r="180" spans="1:2">
      <c r="B180" s="9" t="s">
        <v>451</v>
      </c>
    </row>
    <row r="181" spans="1:2">
      <c r="A181" s="9" t="s">
        <v>1856</v>
      </c>
      <c r="B181" s="9" t="s">
        <v>2257</v>
      </c>
    </row>
    <row r="182" spans="1:2">
      <c r="B182" s="9" t="s">
        <v>2227</v>
      </c>
    </row>
    <row r="183" spans="1:2">
      <c r="B183" s="9" t="s">
        <v>2258</v>
      </c>
    </row>
    <row r="184" spans="1:2">
      <c r="B184" s="9" t="s">
        <v>2259</v>
      </c>
    </row>
    <row r="187" spans="1:2">
      <c r="A187" s="9" t="s">
        <v>876</v>
      </c>
      <c r="B187" s="9" t="s">
        <v>790</v>
      </c>
    </row>
    <row r="188" spans="1:2">
      <c r="A188" s="9" t="s">
        <v>2214</v>
      </c>
      <c r="B188" s="9" t="s">
        <v>697</v>
      </c>
    </row>
    <row r="189" spans="1:2">
      <c r="B189" s="9" t="s">
        <v>154</v>
      </c>
    </row>
    <row r="190" spans="1:2">
      <c r="B190" s="9" t="s">
        <v>153</v>
      </c>
    </row>
    <row r="191" spans="1:2">
      <c r="B191" s="9" t="s">
        <v>874</v>
      </c>
    </row>
    <row r="192" spans="1:2">
      <c r="A192" s="9" t="s">
        <v>1583</v>
      </c>
      <c r="B192" s="9" t="s">
        <v>156</v>
      </c>
    </row>
    <row r="193" spans="1:2">
      <c r="B193" s="9" t="s">
        <v>848</v>
      </c>
    </row>
    <row r="194" spans="1:2">
      <c r="B194" s="9" t="s">
        <v>875</v>
      </c>
    </row>
    <row r="195" spans="1:2">
      <c r="A195" s="9" t="s">
        <v>1856</v>
      </c>
      <c r="B195" s="9" t="s">
        <v>994</v>
      </c>
    </row>
    <row r="196" spans="1:2">
      <c r="B196" s="9" t="s">
        <v>696</v>
      </c>
    </row>
    <row r="197" spans="1:2">
      <c r="B197" s="9" t="s">
        <v>157</v>
      </c>
    </row>
    <row r="198" spans="1:2">
      <c r="B198" s="9" t="s">
        <v>149</v>
      </c>
    </row>
    <row r="199" spans="1:2">
      <c r="B199" s="9" t="s">
        <v>150</v>
      </c>
    </row>
    <row r="200" spans="1:2">
      <c r="B200" s="9" t="s">
        <v>151</v>
      </c>
    </row>
    <row r="201" spans="1:2">
      <c r="B201" s="9" t="s">
        <v>847</v>
      </c>
    </row>
    <row r="202" spans="1:2">
      <c r="B202" s="9" t="s">
        <v>851</v>
      </c>
    </row>
    <row r="203" spans="1:2">
      <c r="B203" s="9" t="s">
        <v>878</v>
      </c>
    </row>
    <row r="204" spans="1:2">
      <c r="A204" s="9" t="s">
        <v>2070</v>
      </c>
      <c r="B204" s="9" t="s">
        <v>152</v>
      </c>
    </row>
    <row r="206" spans="1:2">
      <c r="A206" s="9" t="s">
        <v>1594</v>
      </c>
      <c r="B206" s="9" t="s">
        <v>790</v>
      </c>
    </row>
    <row r="207" spans="1:2">
      <c r="A207" s="9" t="s">
        <v>1583</v>
      </c>
      <c r="B207" s="9" t="s">
        <v>2039</v>
      </c>
    </row>
    <row r="208" spans="1:2">
      <c r="B208" s="9" t="s">
        <v>313</v>
      </c>
    </row>
    <row r="209" spans="1:2">
      <c r="B209" s="9" t="s">
        <v>314</v>
      </c>
    </row>
    <row r="210" spans="1:2">
      <c r="A210" s="9" t="s">
        <v>1856</v>
      </c>
      <c r="B210" s="9" t="s">
        <v>312</v>
      </c>
    </row>
    <row r="211" spans="1:2">
      <c r="B211" s="9" t="s">
        <v>315</v>
      </c>
    </row>
    <row r="212" spans="1:2">
      <c r="B212" s="9" t="s">
        <v>2038</v>
      </c>
    </row>
    <row r="214" spans="1:2">
      <c r="A214" s="9" t="s">
        <v>1605</v>
      </c>
      <c r="B214" s="9" t="s">
        <v>790</v>
      </c>
    </row>
    <row r="215" spans="1:2">
      <c r="A215" s="9" t="s">
        <v>2214</v>
      </c>
      <c r="B215" s="9" t="s">
        <v>834</v>
      </c>
    </row>
    <row r="216" spans="1:2">
      <c r="B216" s="9" t="s">
        <v>1139</v>
      </c>
    </row>
    <row r="217" spans="1:2">
      <c r="A217" s="9" t="s">
        <v>1583</v>
      </c>
      <c r="B217" s="9" t="s">
        <v>831</v>
      </c>
    </row>
    <row r="218" spans="1:2">
      <c r="B218" s="9" t="s">
        <v>1265</v>
      </c>
    </row>
    <row r="219" spans="1:2">
      <c r="B219" s="9" t="s">
        <v>1487</v>
      </c>
    </row>
    <row r="220" spans="1:2">
      <c r="B220" s="9" t="s">
        <v>1556</v>
      </c>
    </row>
    <row r="221" spans="1:2">
      <c r="B221" s="9" t="s">
        <v>1321</v>
      </c>
    </row>
    <row r="222" spans="1:2">
      <c r="B222" s="9" t="s">
        <v>1488</v>
      </c>
    </row>
    <row r="223" spans="1:2">
      <c r="B223" s="9" t="s">
        <v>1322</v>
      </c>
    </row>
    <row r="224" spans="1:2">
      <c r="B224" s="9" t="s">
        <v>1138</v>
      </c>
    </row>
    <row r="225" spans="1:2">
      <c r="B225" s="9" t="s">
        <v>1489</v>
      </c>
    </row>
    <row r="226" spans="1:2">
      <c r="B226" s="9" t="s">
        <v>1490</v>
      </c>
    </row>
    <row r="227" spans="1:2">
      <c r="B227" s="9" t="s">
        <v>1491</v>
      </c>
    </row>
    <row r="228" spans="1:2">
      <c r="A228" s="9" t="s">
        <v>1856</v>
      </c>
      <c r="B228" s="9" t="s">
        <v>832</v>
      </c>
    </row>
    <row r="229" spans="1:2">
      <c r="B229" s="9" t="s">
        <v>613</v>
      </c>
    </row>
    <row r="230" spans="1:2">
      <c r="B230" s="9" t="s">
        <v>587</v>
      </c>
    </row>
    <row r="231" spans="1:2">
      <c r="B231" s="9" t="s">
        <v>730</v>
      </c>
    </row>
    <row r="232" spans="1:2">
      <c r="B232" s="9" t="s">
        <v>937</v>
      </c>
    </row>
    <row r="233" spans="1:2">
      <c r="A233" s="9" t="s">
        <v>2070</v>
      </c>
      <c r="B233" s="9" t="s">
        <v>266</v>
      </c>
    </row>
    <row r="235" spans="1:2">
      <c r="A235" s="9" t="s">
        <v>1415</v>
      </c>
      <c r="B235" s="9" t="s">
        <v>790</v>
      </c>
    </row>
    <row r="236" spans="1:2">
      <c r="A236" s="9" t="s">
        <v>2214</v>
      </c>
      <c r="B236" s="9" t="s">
        <v>438</v>
      </c>
    </row>
    <row r="237" spans="1:2">
      <c r="B237" s="9" t="s">
        <v>1416</v>
      </c>
    </row>
    <row r="238" spans="1:2">
      <c r="B238" s="9" t="s">
        <v>306</v>
      </c>
    </row>
    <row r="239" spans="1:2">
      <c r="B239" s="9" t="s">
        <v>1354</v>
      </c>
    </row>
    <row r="240" spans="1:2">
      <c r="A240" s="9" t="s">
        <v>1583</v>
      </c>
      <c r="B240" s="9" t="s">
        <v>655</v>
      </c>
    </row>
    <row r="241" spans="1:2">
      <c r="B241" s="9" t="s">
        <v>630</v>
      </c>
    </row>
    <row r="242" spans="1:2">
      <c r="B242" s="9" t="s">
        <v>1350</v>
      </c>
    </row>
    <row r="243" spans="1:2">
      <c r="A243" s="2"/>
      <c r="B243" s="9" t="s">
        <v>626</v>
      </c>
    </row>
    <row r="244" spans="1:2">
      <c r="B244" s="9" t="s">
        <v>625</v>
      </c>
    </row>
    <row r="245" spans="1:2">
      <c r="B245" s="9" t="s">
        <v>627</v>
      </c>
    </row>
    <row r="246" spans="1:2">
      <c r="A246" s="9" t="s">
        <v>1856</v>
      </c>
      <c r="B246" s="9" t="s">
        <v>16</v>
      </c>
    </row>
    <row r="247" spans="1:2">
      <c r="B247" s="9" t="s">
        <v>1620</v>
      </c>
    </row>
    <row r="248" spans="1:2">
      <c r="B248" s="9" t="s">
        <v>1255</v>
      </c>
    </row>
    <row r="249" spans="1:2">
      <c r="B249" s="9" t="s">
        <v>1256</v>
      </c>
    </row>
    <row r="250" spans="1:2">
      <c r="B250" s="9" t="s">
        <v>1257</v>
      </c>
    </row>
    <row r="251" spans="1:2">
      <c r="B251" s="9" t="s">
        <v>1208</v>
      </c>
    </row>
    <row r="252" spans="1:2">
      <c r="B252" s="9" t="s">
        <v>1209</v>
      </c>
    </row>
    <row r="253" spans="1:2">
      <c r="B253" s="9" t="s">
        <v>1417</v>
      </c>
    </row>
    <row r="254" spans="1:2">
      <c r="A254" s="9" t="s">
        <v>2070</v>
      </c>
      <c r="B254" s="9" t="s">
        <v>2016</v>
      </c>
    </row>
    <row r="255" spans="1:2">
      <c r="B255" s="9" t="s">
        <v>2017</v>
      </c>
    </row>
    <row r="257" spans="1:2">
      <c r="A257" s="9" t="s">
        <v>1570</v>
      </c>
      <c r="B257" s="9" t="s">
        <v>790</v>
      </c>
    </row>
    <row r="258" spans="1:2">
      <c r="A258" s="9" t="s">
        <v>2214</v>
      </c>
      <c r="B258" s="9" t="s">
        <v>2093</v>
      </c>
    </row>
    <row r="259" spans="1:2">
      <c r="B259" s="9" t="s">
        <v>10</v>
      </c>
    </row>
    <row r="260" spans="1:2">
      <c r="B260" s="9" t="s">
        <v>130</v>
      </c>
    </row>
    <row r="261" spans="1:2">
      <c r="B261" s="9" t="s">
        <v>1883</v>
      </c>
    </row>
    <row r="262" spans="1:2">
      <c r="B262" s="9" t="s">
        <v>1568</v>
      </c>
    </row>
    <row r="263" spans="1:2">
      <c r="A263" s="2"/>
      <c r="B263" s="9" t="s">
        <v>1634</v>
      </c>
    </row>
    <row r="264" spans="1:2">
      <c r="A264" s="2"/>
      <c r="B264" s="9" t="s">
        <v>425</v>
      </c>
    </row>
    <row r="265" spans="1:2">
      <c r="A265" s="2"/>
      <c r="B265" s="9" t="s">
        <v>11</v>
      </c>
    </row>
    <row r="266" spans="1:2">
      <c r="B266" s="9" t="s">
        <v>2026</v>
      </c>
    </row>
    <row r="267" spans="1:2">
      <c r="B267" s="9" t="s">
        <v>2027</v>
      </c>
    </row>
    <row r="268" spans="1:2">
      <c r="B268" s="9" t="s">
        <v>426</v>
      </c>
    </row>
    <row r="269" spans="1:2">
      <c r="A269" s="2"/>
      <c r="B269" s="9" t="s">
        <v>1140</v>
      </c>
    </row>
    <row r="270" spans="1:2">
      <c r="B270" s="9" t="s">
        <v>1141</v>
      </c>
    </row>
    <row r="271" spans="1:2">
      <c r="B271" s="9" t="s">
        <v>1884</v>
      </c>
    </row>
    <row r="272" spans="1:2">
      <c r="B272" s="9" t="s">
        <v>1892</v>
      </c>
    </row>
    <row r="273" spans="1:2">
      <c r="B273" s="9" t="s">
        <v>1346</v>
      </c>
    </row>
    <row r="274" spans="1:2">
      <c r="B274" s="9" t="s">
        <v>1677</v>
      </c>
    </row>
    <row r="275" spans="1:2">
      <c r="B275" s="9" t="s">
        <v>1885</v>
      </c>
    </row>
    <row r="276" spans="1:2">
      <c r="B276" s="9" t="s">
        <v>12</v>
      </c>
    </row>
    <row r="277" spans="1:2">
      <c r="B277" s="9" t="s">
        <v>700</v>
      </c>
    </row>
    <row r="278" spans="1:2">
      <c r="A278" s="2"/>
      <c r="B278" s="9" t="s">
        <v>1027</v>
      </c>
    </row>
    <row r="279" spans="1:2">
      <c r="A279" s="2"/>
      <c r="B279" s="9" t="s">
        <v>1635</v>
      </c>
    </row>
    <row r="280" spans="1:2">
      <c r="A280" s="2"/>
      <c r="B280" s="9" t="s">
        <v>1142</v>
      </c>
    </row>
    <row r="281" spans="1:2">
      <c r="B281" s="9" t="s">
        <v>879</v>
      </c>
    </row>
    <row r="282" spans="1:2">
      <c r="B282" s="9" t="s">
        <v>129</v>
      </c>
    </row>
    <row r="283" spans="1:2">
      <c r="B283" s="9" t="s">
        <v>1886</v>
      </c>
    </row>
    <row r="284" spans="1:2">
      <c r="B284" s="9" t="s">
        <v>427</v>
      </c>
    </row>
    <row r="285" spans="1:2">
      <c r="B285" s="9" t="s">
        <v>1887</v>
      </c>
    </row>
    <row r="286" spans="1:2">
      <c r="B286" s="9" t="s">
        <v>1891</v>
      </c>
    </row>
    <row r="287" spans="1:2">
      <c r="B287" s="9" t="s">
        <v>428</v>
      </c>
    </row>
    <row r="288" spans="1:2">
      <c r="B288" s="9" t="s">
        <v>1889</v>
      </c>
    </row>
    <row r="289" spans="1:2">
      <c r="B289" s="9" t="s">
        <v>1890</v>
      </c>
    </row>
    <row r="290" spans="1:2">
      <c r="B290" s="9" t="s">
        <v>429</v>
      </c>
    </row>
    <row r="291" spans="1:2">
      <c r="B291" s="9" t="s">
        <v>1881</v>
      </c>
    </row>
    <row r="292" spans="1:2">
      <c r="B292" s="9" t="s">
        <v>1882</v>
      </c>
    </row>
    <row r="293" spans="1:2">
      <c r="A293" s="9" t="s">
        <v>1856</v>
      </c>
      <c r="B293" s="9" t="s">
        <v>422</v>
      </c>
    </row>
    <row r="294" spans="1:2">
      <c r="B294" s="9" t="s">
        <v>252</v>
      </c>
    </row>
    <row r="295" spans="1:2">
      <c r="B295" s="9" t="s">
        <v>254</v>
      </c>
    </row>
    <row r="296" spans="1:2">
      <c r="B296" s="9" t="s">
        <v>307</v>
      </c>
    </row>
    <row r="297" spans="1:2">
      <c r="B297" s="9" t="s">
        <v>1569</v>
      </c>
    </row>
    <row r="298" spans="1:2">
      <c r="B298" s="9" t="s">
        <v>1571</v>
      </c>
    </row>
    <row r="299" spans="1:2">
      <c r="A299" s="9" t="s">
        <v>423</v>
      </c>
      <c r="B299" s="9" t="s">
        <v>424</v>
      </c>
    </row>
    <row r="300" spans="1:2">
      <c r="B300" s="9" t="s">
        <v>253</v>
      </c>
    </row>
    <row r="301" spans="1:2">
      <c r="B301" s="9" t="s">
        <v>1567</v>
      </c>
    </row>
    <row r="303" spans="1:2">
      <c r="A303" s="9" t="s">
        <v>458</v>
      </c>
      <c r="B303" s="9" t="s">
        <v>790</v>
      </c>
    </row>
    <row r="304" spans="1:2">
      <c r="A304" s="9" t="s">
        <v>2214</v>
      </c>
      <c r="B304" s="9" t="s">
        <v>989</v>
      </c>
    </row>
    <row r="305" spans="1:2">
      <c r="A305" s="2"/>
      <c r="B305" s="9" t="s">
        <v>966</v>
      </c>
    </row>
    <row r="306" spans="1:2">
      <c r="B306" s="9" t="s">
        <v>970</v>
      </c>
    </row>
    <row r="307" spans="1:2">
      <c r="B307" s="9" t="s">
        <v>859</v>
      </c>
    </row>
    <row r="308" spans="1:2">
      <c r="B308" s="9" t="s">
        <v>707</v>
      </c>
    </row>
    <row r="309" spans="1:2">
      <c r="B309" s="9" t="s">
        <v>987</v>
      </c>
    </row>
    <row r="310" spans="1:2">
      <c r="A310" s="2"/>
      <c r="B310" s="9" t="s">
        <v>965</v>
      </c>
    </row>
    <row r="311" spans="1:2">
      <c r="A311" s="2"/>
      <c r="B311" s="9" t="s">
        <v>985</v>
      </c>
    </row>
    <row r="312" spans="1:2">
      <c r="A312" s="2"/>
      <c r="B312" s="9" t="s">
        <v>964</v>
      </c>
    </row>
    <row r="313" spans="1:2">
      <c r="A313" s="2"/>
      <c r="B313" s="9" t="s">
        <v>986</v>
      </c>
    </row>
    <row r="314" spans="1:2">
      <c r="A314" s="2"/>
      <c r="B314" s="9" t="s">
        <v>706</v>
      </c>
    </row>
    <row r="315" spans="1:2">
      <c r="A315" s="2"/>
      <c r="B315" s="9" t="s">
        <v>968</v>
      </c>
    </row>
    <row r="316" spans="1:2">
      <c r="A316" s="2"/>
      <c r="B316" s="9" t="s">
        <v>978</v>
      </c>
    </row>
    <row r="317" spans="1:2">
      <c r="A317" s="2"/>
      <c r="B317" s="9" t="s">
        <v>977</v>
      </c>
    </row>
    <row r="318" spans="1:2">
      <c r="A318" s="2"/>
      <c r="B318" s="9" t="s">
        <v>869</v>
      </c>
    </row>
    <row r="319" spans="1:2">
      <c r="A319" s="2"/>
      <c r="B319" s="9" t="s">
        <v>971</v>
      </c>
    </row>
    <row r="320" spans="1:2">
      <c r="A320" s="2"/>
      <c r="B320" s="9" t="s">
        <v>959</v>
      </c>
    </row>
    <row r="321" spans="1:2">
      <c r="A321" s="2"/>
      <c r="B321" s="9" t="s">
        <v>969</v>
      </c>
    </row>
    <row r="322" spans="1:2">
      <c r="A322" s="2"/>
      <c r="B322" s="9" t="s">
        <v>871</v>
      </c>
    </row>
    <row r="323" spans="1:2">
      <c r="A323" s="2"/>
      <c r="B323" s="9" t="s">
        <v>967</v>
      </c>
    </row>
    <row r="324" spans="1:2">
      <c r="A324" s="2"/>
      <c r="B324" s="9" t="s">
        <v>992</v>
      </c>
    </row>
    <row r="325" spans="1:2">
      <c r="A325" s="2"/>
      <c r="B325" s="9" t="s">
        <v>703</v>
      </c>
    </row>
    <row r="326" spans="1:2">
      <c r="A326" s="2"/>
      <c r="B326" s="9" t="s">
        <v>704</v>
      </c>
    </row>
    <row r="327" spans="1:2">
      <c r="A327" s="2"/>
      <c r="B327" s="9" t="s">
        <v>702</v>
      </c>
    </row>
    <row r="328" spans="1:2">
      <c r="A328" s="2"/>
      <c r="B328" s="9" t="s">
        <v>701</v>
      </c>
    </row>
    <row r="329" spans="1:2">
      <c r="A329" s="2"/>
      <c r="B329" s="9" t="s">
        <v>705</v>
      </c>
    </row>
    <row r="330" spans="1:2">
      <c r="A330" s="2"/>
      <c r="B330" s="9" t="s">
        <v>979</v>
      </c>
    </row>
    <row r="331" spans="1:2">
      <c r="A331" s="2"/>
      <c r="B331" s="9" t="s">
        <v>963</v>
      </c>
    </row>
    <row r="332" spans="1:2">
      <c r="A332" s="2"/>
      <c r="B332" s="9" t="s">
        <v>990</v>
      </c>
    </row>
    <row r="333" spans="1:2">
      <c r="A333" s="2"/>
      <c r="B333" s="9" t="s">
        <v>974</v>
      </c>
    </row>
    <row r="334" spans="1:2">
      <c r="A334" s="2"/>
      <c r="B334" s="9" t="s">
        <v>975</v>
      </c>
    </row>
    <row r="335" spans="1:2">
      <c r="A335" s="2"/>
      <c r="B335" s="9" t="s">
        <v>988</v>
      </c>
    </row>
    <row r="336" spans="1:2">
      <c r="B336" s="9" t="s">
        <v>872</v>
      </c>
    </row>
    <row r="337" spans="1:2">
      <c r="B337" s="9" t="s">
        <v>980</v>
      </c>
    </row>
    <row r="338" spans="1:2">
      <c r="B338" s="9" t="s">
        <v>981</v>
      </c>
    </row>
    <row r="339" spans="1:2">
      <c r="B339" s="9" t="s">
        <v>982</v>
      </c>
    </row>
    <row r="340" spans="1:2">
      <c r="B340" s="9" t="s">
        <v>991</v>
      </c>
    </row>
    <row r="341" spans="1:2">
      <c r="B341" s="9" t="s">
        <v>972</v>
      </c>
    </row>
    <row r="342" spans="1:2">
      <c r="B342" s="9" t="s">
        <v>983</v>
      </c>
    </row>
    <row r="343" spans="1:2">
      <c r="B343" s="9" t="s">
        <v>973</v>
      </c>
    </row>
    <row r="344" spans="1:2">
      <c r="B344" s="9" t="s">
        <v>1266</v>
      </c>
    </row>
    <row r="345" spans="1:2">
      <c r="A345" s="9" t="s">
        <v>1583</v>
      </c>
      <c r="B345" s="9" t="s">
        <v>609</v>
      </c>
    </row>
    <row r="346" spans="1:2">
      <c r="B346" s="9" t="s">
        <v>610</v>
      </c>
    </row>
    <row r="347" spans="1:2">
      <c r="B347" s="9" t="s">
        <v>611</v>
      </c>
    </row>
    <row r="348" spans="1:2">
      <c r="B348" s="9" t="s">
        <v>938</v>
      </c>
    </row>
    <row r="349" spans="1:2">
      <c r="A349" s="9" t="s">
        <v>1856</v>
      </c>
      <c r="B349" s="9" t="s">
        <v>714</v>
      </c>
    </row>
    <row r="350" spans="1:2">
      <c r="B350" s="9" t="s">
        <v>993</v>
      </c>
    </row>
    <row r="351" spans="1:2">
      <c r="B351" s="9" t="s">
        <v>955</v>
      </c>
    </row>
    <row r="352" spans="1:2">
      <c r="B352" s="9" t="s">
        <v>1604</v>
      </c>
    </row>
    <row r="353" spans="1:2">
      <c r="B353" s="9" t="s">
        <v>1962</v>
      </c>
    </row>
    <row r="354" spans="1:2">
      <c r="B354" s="9" t="s">
        <v>612</v>
      </c>
    </row>
    <row r="355" spans="1:2">
      <c r="A355" s="9" t="s">
        <v>855</v>
      </c>
      <c r="B355" s="9" t="s">
        <v>856</v>
      </c>
    </row>
    <row r="356" spans="1:2">
      <c r="B356" s="9" t="s">
        <v>1398</v>
      </c>
    </row>
    <row r="357" spans="1:2">
      <c r="B357" s="9" t="s">
        <v>857</v>
      </c>
    </row>
    <row r="358" spans="1:2">
      <c r="B358" s="9" t="s">
        <v>858</v>
      </c>
    </row>
    <row r="359" spans="1:2">
      <c r="B359" s="9" t="s">
        <v>1150</v>
      </c>
    </row>
    <row r="361" spans="1:2">
      <c r="A361" s="9" t="s">
        <v>189</v>
      </c>
      <c r="B361" s="9" t="s">
        <v>790</v>
      </c>
    </row>
    <row r="362" spans="1:2">
      <c r="A362" s="9" t="s">
        <v>2214</v>
      </c>
      <c r="B362" s="9" t="s">
        <v>1290</v>
      </c>
    </row>
    <row r="363" spans="1:2">
      <c r="A363" s="2"/>
      <c r="B363" s="9" t="s">
        <v>1291</v>
      </c>
    </row>
    <row r="364" spans="1:2">
      <c r="A364" s="2"/>
      <c r="B364" s="9" t="s">
        <v>811</v>
      </c>
    </row>
    <row r="365" spans="1:2">
      <c r="A365" s="2"/>
      <c r="B365" s="9" t="s">
        <v>1357</v>
      </c>
    </row>
    <row r="366" spans="1:2">
      <c r="A366" s="2"/>
      <c r="B366" s="9" t="s">
        <v>188</v>
      </c>
    </row>
    <row r="367" spans="1:2">
      <c r="A367" s="2" t="s">
        <v>1583</v>
      </c>
      <c r="B367" s="9" t="s">
        <v>1911</v>
      </c>
    </row>
    <row r="368" spans="1:2">
      <c r="A368" s="2"/>
      <c r="B368" s="9" t="s">
        <v>1129</v>
      </c>
    </row>
    <row r="369" spans="1:2">
      <c r="A369" s="2"/>
      <c r="B369" s="9" t="s">
        <v>190</v>
      </c>
    </row>
    <row r="370" spans="1:2">
      <c r="A370" s="2"/>
      <c r="B370" s="9" t="s">
        <v>560</v>
      </c>
    </row>
    <row r="371" spans="1:2">
      <c r="A371" s="2"/>
      <c r="B371" s="9" t="s">
        <v>1630</v>
      </c>
    </row>
    <row r="372" spans="1:2">
      <c r="A372" s="2"/>
      <c r="B372" s="9" t="s">
        <v>1636</v>
      </c>
    </row>
    <row r="373" spans="1:2">
      <c r="A373" s="2"/>
      <c r="B373" s="9" t="s">
        <v>1741</v>
      </c>
    </row>
    <row r="374" spans="1:2">
      <c r="A374" s="2"/>
      <c r="B374" s="9" t="s">
        <v>1631</v>
      </c>
    </row>
    <row r="375" spans="1:2">
      <c r="A375" s="2"/>
      <c r="B375" s="9" t="s">
        <v>1632</v>
      </c>
    </row>
    <row r="376" spans="1:2">
      <c r="A376" s="2"/>
      <c r="B376" s="9" t="s">
        <v>1740</v>
      </c>
    </row>
    <row r="377" spans="1:2">
      <c r="A377" s="2"/>
      <c r="B377" s="9" t="s">
        <v>1633</v>
      </c>
    </row>
    <row r="378" spans="1:2">
      <c r="A378" s="2"/>
      <c r="B378" s="9" t="s">
        <v>45</v>
      </c>
    </row>
    <row r="379" spans="1:2">
      <c r="A379" s="2"/>
      <c r="B379" s="9" t="s">
        <v>52</v>
      </c>
    </row>
    <row r="380" spans="1:2">
      <c r="A380" s="2"/>
      <c r="B380" s="9" t="s">
        <v>1637</v>
      </c>
    </row>
    <row r="381" spans="1:2">
      <c r="A381" s="2" t="s">
        <v>1856</v>
      </c>
      <c r="B381" s="9" t="s">
        <v>1292</v>
      </c>
    </row>
    <row r="382" spans="1:2">
      <c r="A382" s="2"/>
      <c r="B382" s="9" t="s">
        <v>1293</v>
      </c>
    </row>
    <row r="383" spans="1:2">
      <c r="A383" s="2"/>
      <c r="B383" s="9" t="s">
        <v>1130</v>
      </c>
    </row>
    <row r="384" spans="1:2">
      <c r="A384" s="2"/>
      <c r="B384" s="9" t="s">
        <v>1652</v>
      </c>
    </row>
    <row r="385" spans="1:2">
      <c r="A385" s="2"/>
      <c r="B385" s="9" t="s">
        <v>114</v>
      </c>
    </row>
    <row r="386" spans="1:2">
      <c r="A386" s="2"/>
      <c r="B386" s="9" t="s">
        <v>606</v>
      </c>
    </row>
    <row r="387" spans="1:2">
      <c r="A387" s="2"/>
      <c r="B387" s="9" t="s">
        <v>40</v>
      </c>
    </row>
    <row r="388" spans="1:2">
      <c r="A388" s="2"/>
      <c r="B388" s="9" t="s">
        <v>42</v>
      </c>
    </row>
    <row r="389" spans="1:2">
      <c r="A389" s="2"/>
      <c r="B389" s="9" t="s">
        <v>41</v>
      </c>
    </row>
    <row r="390" spans="1:2">
      <c r="A390" s="2" t="s">
        <v>2070</v>
      </c>
      <c r="B390" s="9" t="s">
        <v>43</v>
      </c>
    </row>
    <row r="391" spans="1:2">
      <c r="A391" s="2"/>
      <c r="B391" s="9" t="s">
        <v>51</v>
      </c>
    </row>
    <row r="392" spans="1:2">
      <c r="B392" s="9" t="s">
        <v>1618</v>
      </c>
    </row>
    <row r="393" spans="1:2">
      <c r="B393" s="9" t="s">
        <v>1619</v>
      </c>
    </row>
    <row r="394" spans="1:2">
      <c r="B394" s="9" t="s">
        <v>2068</v>
      </c>
    </row>
    <row r="396" spans="1:2">
      <c r="A396" s="9" t="s">
        <v>1855</v>
      </c>
      <c r="B396" s="9" t="s">
        <v>790</v>
      </c>
    </row>
    <row r="397" spans="1:2">
      <c r="A397" s="9" t="s">
        <v>2214</v>
      </c>
      <c r="B397" s="9" t="s">
        <v>2215</v>
      </c>
    </row>
    <row r="398" spans="1:2">
      <c r="A398" s="9" t="s">
        <v>1856</v>
      </c>
      <c r="B398" s="9" t="s">
        <v>2217</v>
      </c>
    </row>
    <row r="399" spans="1:2">
      <c r="B399" s="9" t="s">
        <v>497</v>
      </c>
    </row>
    <row r="400" spans="1:2">
      <c r="B400" s="9" t="s">
        <v>2216</v>
      </c>
    </row>
    <row r="401" spans="1:2">
      <c r="B401" s="9" t="s">
        <v>995</v>
      </c>
    </row>
    <row r="402" spans="1:2">
      <c r="B402" s="9" t="s">
        <v>1339</v>
      </c>
    </row>
    <row r="403" spans="1:2">
      <c r="B403" s="9" t="s">
        <v>2212</v>
      </c>
    </row>
    <row r="404" spans="1:2">
      <c r="B404" s="9" t="s">
        <v>2218</v>
      </c>
    </row>
    <row r="406" spans="1:2">
      <c r="A406" s="9" t="s">
        <v>1353</v>
      </c>
      <c r="B406" s="9" t="s">
        <v>790</v>
      </c>
    </row>
    <row r="407" spans="1:2">
      <c r="A407" s="9" t="s">
        <v>2247</v>
      </c>
      <c r="B407" s="9" t="s">
        <v>791</v>
      </c>
    </row>
    <row r="408" spans="1:2">
      <c r="A408" s="9" t="s">
        <v>2178</v>
      </c>
      <c r="B408" s="9" t="s">
        <v>1424</v>
      </c>
    </row>
    <row r="409" spans="1:2">
      <c r="B409" s="9" t="s">
        <v>1425</v>
      </c>
    </row>
    <row r="410" spans="1:2">
      <c r="B410" s="9" t="s">
        <v>488</v>
      </c>
    </row>
    <row r="411" spans="1:2">
      <c r="B411" s="9" t="s">
        <v>489</v>
      </c>
    </row>
    <row r="412" spans="1:2">
      <c r="B412" s="9" t="s">
        <v>1336</v>
      </c>
    </row>
    <row r="413" spans="1:2">
      <c r="B413" s="9" t="s">
        <v>873</v>
      </c>
    </row>
    <row r="414" spans="1:2">
      <c r="A414" s="9" t="s">
        <v>2246</v>
      </c>
      <c r="B414" s="9" t="s">
        <v>261</v>
      </c>
    </row>
    <row r="415" spans="1:2">
      <c r="B415" s="9" t="s">
        <v>262</v>
      </c>
    </row>
    <row r="416" spans="1:2">
      <c r="B416" s="9" t="s">
        <v>852</v>
      </c>
    </row>
    <row r="418" spans="1:2">
      <c r="A418" s="9" t="s">
        <v>1964</v>
      </c>
      <c r="B418" s="9" t="s">
        <v>790</v>
      </c>
    </row>
    <row r="419" spans="1:2">
      <c r="A419" s="9" t="s">
        <v>2247</v>
      </c>
      <c r="B419" s="9" t="s">
        <v>534</v>
      </c>
    </row>
    <row r="420" spans="1:2">
      <c r="B420" s="9" t="s">
        <v>889</v>
      </c>
    </row>
    <row r="421" spans="1:2">
      <c r="B421" s="9" t="s">
        <v>890</v>
      </c>
    </row>
    <row r="422" spans="1:2">
      <c r="B422" s="9" t="s">
        <v>1593</v>
      </c>
    </row>
    <row r="423" spans="1:2">
      <c r="A423" s="9" t="s">
        <v>2246</v>
      </c>
      <c r="B423" s="9" t="s">
        <v>1854</v>
      </c>
    </row>
    <row r="424" spans="1:2">
      <c r="A424" s="9" t="s">
        <v>2178</v>
      </c>
      <c r="B424" s="9" t="s">
        <v>1963</v>
      </c>
    </row>
    <row r="425" spans="1:2">
      <c r="B425" s="9" t="s">
        <v>795</v>
      </c>
    </row>
    <row r="426" spans="1:2">
      <c r="B426" s="9" t="s">
        <v>7</v>
      </c>
    </row>
    <row r="427" spans="1:2">
      <c r="B427" s="9" t="s">
        <v>896</v>
      </c>
    </row>
    <row r="428" spans="1:2">
      <c r="B428" s="9" t="s">
        <v>2181</v>
      </c>
    </row>
    <row r="429" spans="1:2">
      <c r="B429" s="9" t="s">
        <v>2182</v>
      </c>
    </row>
    <row r="430" spans="1:2">
      <c r="B430" s="9" t="s">
        <v>2183</v>
      </c>
    </row>
    <row r="431" spans="1:2">
      <c r="B431" s="9" t="s">
        <v>1560</v>
      </c>
    </row>
    <row r="432" spans="1:2">
      <c r="B432" s="9" t="s">
        <v>1853</v>
      </c>
    </row>
    <row r="433" spans="1:2">
      <c r="A433" s="9" t="s">
        <v>1565</v>
      </c>
      <c r="B433" s="9" t="s">
        <v>1561</v>
      </c>
    </row>
    <row r="435" spans="1:2">
      <c r="A435" s="9" t="s">
        <v>500</v>
      </c>
      <c r="B435" s="9" t="s">
        <v>790</v>
      </c>
    </row>
    <row r="436" spans="1:2">
      <c r="A436" s="9" t="s">
        <v>2247</v>
      </c>
      <c r="B436" s="9" t="s">
        <v>1925</v>
      </c>
    </row>
    <row r="437" spans="1:2">
      <c r="B437" s="9" t="s">
        <v>453</v>
      </c>
    </row>
    <row r="438" spans="1:2">
      <c r="B438" s="6" t="s">
        <v>1926</v>
      </c>
    </row>
    <row r="439" spans="1:2">
      <c r="A439" s="9" t="s">
        <v>452</v>
      </c>
      <c r="B439" s="6" t="s">
        <v>907</v>
      </c>
    </row>
    <row r="440" spans="1:2">
      <c r="A440" s="9" t="s">
        <v>2178</v>
      </c>
      <c r="B440" s="9" t="s">
        <v>501</v>
      </c>
    </row>
    <row r="441" spans="1:2">
      <c r="B441" s="9" t="s">
        <v>502</v>
      </c>
    </row>
    <row r="442" spans="1:2">
      <c r="B442" s="9" t="s">
        <v>503</v>
      </c>
    </row>
    <row r="443" spans="1:2">
      <c r="B443" s="9" t="s">
        <v>906</v>
      </c>
    </row>
    <row r="444" spans="1:2">
      <c r="B444" s="9" t="s">
        <v>1924</v>
      </c>
    </row>
    <row r="445" spans="1:2">
      <c r="B445" s="9" t="s">
        <v>905</v>
      </c>
    </row>
    <row r="447" spans="1:2">
      <c r="A447" s="9" t="s">
        <v>1477</v>
      </c>
      <c r="B447" s="9" t="s">
        <v>790</v>
      </c>
    </row>
    <row r="448" spans="1:2">
      <c r="A448" s="9" t="s">
        <v>2246</v>
      </c>
      <c r="B448" s="9" t="s">
        <v>1658</v>
      </c>
    </row>
    <row r="449" spans="1:2">
      <c r="B449" s="9" t="s">
        <v>1007</v>
      </c>
    </row>
    <row r="450" spans="1:2">
      <c r="A450" s="9" t="s">
        <v>2247</v>
      </c>
      <c r="B450" s="9" t="s">
        <v>1006</v>
      </c>
    </row>
    <row r="451" spans="1:2">
      <c r="B451" s="9" t="s">
        <v>1206</v>
      </c>
    </row>
    <row r="452" spans="1:2">
      <c r="B452" s="9" t="s">
        <v>1229</v>
      </c>
    </row>
    <row r="453" spans="1:2">
      <c r="B453" s="9" t="s">
        <v>1230</v>
      </c>
    </row>
    <row r="454" spans="1:2">
      <c r="B454" s="9" t="s">
        <v>1407</v>
      </c>
    </row>
    <row r="455" spans="1:2">
      <c r="B455" s="9" t="s">
        <v>1493</v>
      </c>
    </row>
    <row r="456" spans="1:2">
      <c r="B456" s="9" t="s">
        <v>1496</v>
      </c>
    </row>
    <row r="457" spans="1:2">
      <c r="B457" s="9" t="s">
        <v>1503</v>
      </c>
    </row>
    <row r="458" spans="1:2">
      <c r="B458" s="9" t="s">
        <v>1504</v>
      </c>
    </row>
    <row r="459" spans="1:2">
      <c r="B459" s="9" t="s">
        <v>1505</v>
      </c>
    </row>
    <row r="460" spans="1:2">
      <c r="B460" s="9" t="s">
        <v>1506</v>
      </c>
    </row>
    <row r="461" spans="1:2">
      <c r="B461" s="9" t="s">
        <v>1507</v>
      </c>
    </row>
    <row r="462" spans="1:2">
      <c r="B462" s="9" t="s">
        <v>1508</v>
      </c>
    </row>
    <row r="463" spans="1:2">
      <c r="A463" s="9" t="s">
        <v>1565</v>
      </c>
      <c r="B463" s="9" t="s">
        <v>1913</v>
      </c>
    </row>
    <row r="464" spans="1:2">
      <c r="B464" s="9" t="s">
        <v>1509</v>
      </c>
    </row>
    <row r="465" spans="1:2">
      <c r="A465" s="9" t="s">
        <v>2178</v>
      </c>
      <c r="B465" s="9" t="s">
        <v>1481</v>
      </c>
    </row>
    <row r="466" spans="1:2">
      <c r="B466" s="9" t="s">
        <v>1482</v>
      </c>
    </row>
    <row r="467" spans="1:2">
      <c r="B467" s="9" t="s">
        <v>1467</v>
      </c>
    </row>
    <row r="468" spans="1:2">
      <c r="B468" s="9" t="s">
        <v>136</v>
      </c>
    </row>
    <row r="470" spans="1:2">
      <c r="A470" s="9" t="s">
        <v>1478</v>
      </c>
      <c r="B470" s="9" t="s">
        <v>1479</v>
      </c>
    </row>
    <row r="471" spans="1:2">
      <c r="A471" s="9" t="s">
        <v>2247</v>
      </c>
      <c r="B471" s="9" t="s">
        <v>1480</v>
      </c>
    </row>
    <row r="473" spans="1:2">
      <c r="A473" s="9" t="s">
        <v>1061</v>
      </c>
      <c r="B473" s="9" t="s">
        <v>790</v>
      </c>
    </row>
    <row r="474" spans="1:2">
      <c r="A474" s="9" t="s">
        <v>2246</v>
      </c>
      <c r="B474" s="9" t="s">
        <v>1057</v>
      </c>
    </row>
    <row r="475" spans="1:2">
      <c r="A475" s="9" t="s">
        <v>2178</v>
      </c>
      <c r="B475" s="9" t="s">
        <v>283</v>
      </c>
    </row>
    <row r="476" spans="1:2">
      <c r="B476" s="9" t="s">
        <v>284</v>
      </c>
    </row>
    <row r="477" spans="1:2">
      <c r="B477" s="9" t="s">
        <v>285</v>
      </c>
    </row>
    <row r="478" spans="1:2">
      <c r="B478" s="9" t="s">
        <v>286</v>
      </c>
    </row>
    <row r="479" spans="1:2">
      <c r="B479" s="9" t="s">
        <v>287</v>
      </c>
    </row>
    <row r="480" spans="1:2">
      <c r="B480" s="9" t="s">
        <v>288</v>
      </c>
    </row>
    <row r="481" spans="1:2">
      <c r="B481" s="9" t="s">
        <v>289</v>
      </c>
    </row>
    <row r="482" spans="1:2">
      <c r="B482" s="9" t="s">
        <v>1023</v>
      </c>
    </row>
    <row r="483" spans="1:2">
      <c r="B483" s="9" t="s">
        <v>757</v>
      </c>
    </row>
    <row r="484" spans="1:2">
      <c r="B484" s="9" t="s">
        <v>758</v>
      </c>
    </row>
    <row r="485" spans="1:2">
      <c r="B485" s="9" t="s">
        <v>1058</v>
      </c>
    </row>
    <row r="486" spans="1:2">
      <c r="B486" s="9" t="s">
        <v>1060</v>
      </c>
    </row>
    <row r="487" spans="1:2">
      <c r="B487" s="9" t="s">
        <v>1059</v>
      </c>
    </row>
    <row r="489" spans="1:2">
      <c r="A489" s="9" t="s">
        <v>1125</v>
      </c>
      <c r="B489" s="9" t="s">
        <v>790</v>
      </c>
    </row>
    <row r="490" spans="1:2">
      <c r="A490" s="9" t="s">
        <v>2178</v>
      </c>
      <c r="B490" s="9" t="s">
        <v>1126</v>
      </c>
    </row>
    <row r="491" spans="1:2">
      <c r="B491" s="9" t="s">
        <v>1127</v>
      </c>
    </row>
    <row r="492" spans="1:2">
      <c r="A492" s="9" t="s">
        <v>2247</v>
      </c>
      <c r="B492" s="9" t="s">
        <v>1128</v>
      </c>
    </row>
    <row r="493" spans="1:2">
      <c r="B493" s="9" t="s">
        <v>867</v>
      </c>
    </row>
    <row r="495" spans="1:2">
      <c r="A495" s="9" t="s">
        <v>2263</v>
      </c>
      <c r="B495" s="9" t="s">
        <v>790</v>
      </c>
    </row>
    <row r="496" spans="1:2">
      <c r="A496" s="9" t="s">
        <v>2246</v>
      </c>
      <c r="B496" s="9" t="s">
        <v>160</v>
      </c>
    </row>
    <row r="498" spans="1:256">
      <c r="A498" s="9" t="s">
        <v>2262</v>
      </c>
      <c r="B498" s="9" t="s">
        <v>790</v>
      </c>
    </row>
    <row r="499" spans="1:256">
      <c r="A499" s="9" t="s">
        <v>2246</v>
      </c>
      <c r="B499" s="9" t="s">
        <v>1768</v>
      </c>
    </row>
    <row r="500" spans="1:256">
      <c r="B500" s="9" t="s">
        <v>1959</v>
      </c>
    </row>
    <row r="501" spans="1:256">
      <c r="A501" s="9" t="s">
        <v>2247</v>
      </c>
      <c r="B501" s="9" t="s">
        <v>165</v>
      </c>
    </row>
    <row r="502" spans="1:256">
      <c r="A502" s="9" t="s">
        <v>1565</v>
      </c>
      <c r="B502" s="9" t="s">
        <v>162</v>
      </c>
    </row>
    <row r="503" spans="1:256">
      <c r="B503" s="9" t="s">
        <v>1769</v>
      </c>
    </row>
    <row r="504" spans="1:256">
      <c r="A504" s="9" t="s">
        <v>2178</v>
      </c>
      <c r="B504" s="9" t="s">
        <v>530</v>
      </c>
    </row>
    <row r="505" spans="1:256">
      <c r="B505" s="9" t="s">
        <v>529</v>
      </c>
    </row>
    <row r="506" spans="1:256">
      <c r="B506" s="9" t="s">
        <v>230</v>
      </c>
    </row>
    <row r="507" spans="1:256">
      <c r="B507" s="9" t="s">
        <v>166</v>
      </c>
    </row>
    <row r="508" spans="1:256">
      <c r="B508" s="10" t="s">
        <v>1770</v>
      </c>
    </row>
    <row r="509" spans="1:256">
      <c r="B509" s="9" t="s">
        <v>1956</v>
      </c>
    </row>
    <row r="510" spans="1:256">
      <c r="B510" s="10" t="s">
        <v>1957</v>
      </c>
    </row>
    <row r="511" spans="1:256">
      <c r="B511" s="10" t="s">
        <v>1958</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B512" s="10" t="s">
        <v>1960</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B513" s="10" t="s">
        <v>1961</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E514" s="9"/>
      <c r="BF514" s="9"/>
      <c r="BG514" s="9"/>
      <c r="BH514" s="9"/>
      <c r="BI514" s="9"/>
      <c r="BJ514" s="9"/>
      <c r="BK514" s="9"/>
      <c r="BL514" s="9"/>
      <c r="BM514" s="9"/>
      <c r="BN514" s="9"/>
      <c r="BO514" s="9"/>
      <c r="BP514" s="9"/>
      <c r="BQ514" s="9"/>
      <c r="BR514" s="9"/>
      <c r="BS514" s="9"/>
      <c r="BT514" s="9"/>
      <c r="BU514" s="9"/>
      <c r="BV514" s="9"/>
      <c r="BW514" s="9"/>
      <c r="BX514" s="9"/>
      <c r="BY514" s="9"/>
      <c r="BZ514" s="9"/>
      <c r="CA514" s="9"/>
      <c r="CB514" s="9"/>
      <c r="CC514" s="9"/>
      <c r="CD514" s="9"/>
      <c r="CE514" s="9"/>
      <c r="CF514" s="9"/>
      <c r="CG514" s="9"/>
      <c r="CH514" s="9"/>
      <c r="CI514" s="9"/>
      <c r="CJ514" s="9"/>
      <c r="CK514" s="9"/>
      <c r="CL514" s="9"/>
      <c r="CM514" s="9"/>
      <c r="CN514" s="9"/>
      <c r="CO514" s="9"/>
      <c r="CP514" s="9"/>
      <c r="CQ514" s="9"/>
      <c r="CR514" s="9"/>
      <c r="CS514" s="9"/>
      <c r="CT514" s="9"/>
      <c r="CU514" s="9"/>
      <c r="CV514" s="9"/>
      <c r="CW514" s="9"/>
      <c r="CX514" s="9"/>
      <c r="CY514" s="9"/>
      <c r="CZ514" s="9"/>
      <c r="DA514" s="9"/>
      <c r="DB514" s="9"/>
      <c r="DC514" s="9"/>
      <c r="DD514" s="9"/>
      <c r="DE514" s="9"/>
      <c r="DF514" s="9"/>
      <c r="DG514" s="9"/>
      <c r="DH514" s="9"/>
      <c r="DI514" s="9"/>
      <c r="DJ514" s="9"/>
      <c r="DK514" s="9"/>
      <c r="DL514" s="9"/>
      <c r="DM514" s="9"/>
      <c r="DN514" s="9"/>
      <c r="DO514" s="9"/>
      <c r="DP514" s="9"/>
      <c r="DQ514" s="9"/>
      <c r="DR514" s="9"/>
      <c r="DS514" s="9"/>
      <c r="DT514" s="9"/>
      <c r="DU514" s="9"/>
      <c r="DV514" s="9"/>
      <c r="DW514" s="9"/>
      <c r="DX514" s="9"/>
      <c r="DY514" s="9"/>
      <c r="DZ514" s="9"/>
      <c r="EA514" s="9"/>
      <c r="EB514" s="9"/>
      <c r="EC514" s="9"/>
      <c r="ED514" s="9"/>
      <c r="EE514" s="9"/>
      <c r="EF514" s="9"/>
      <c r="EG514" s="9"/>
      <c r="EH514" s="9"/>
      <c r="EI514" s="9"/>
      <c r="EJ514" s="9"/>
      <c r="EK514" s="9"/>
      <c r="EL514" s="9"/>
      <c r="EM514" s="9"/>
      <c r="EN514" s="9"/>
      <c r="EO514" s="9"/>
      <c r="EP514" s="9"/>
      <c r="EQ514" s="9"/>
      <c r="ER514" s="9"/>
      <c r="ES514" s="9"/>
      <c r="ET514" s="9"/>
      <c r="EU514" s="9"/>
      <c r="EV514" s="9"/>
      <c r="EW514" s="9"/>
      <c r="EX514" s="9"/>
      <c r="EY514" s="9"/>
      <c r="EZ514" s="9"/>
      <c r="FA514" s="9"/>
      <c r="FB514" s="9"/>
      <c r="FC514" s="9"/>
      <c r="FD514" s="9"/>
      <c r="FE514" s="9"/>
      <c r="FF514" s="9"/>
      <c r="FG514" s="9"/>
      <c r="FH514" s="9"/>
      <c r="FI514" s="9"/>
      <c r="FJ514" s="9"/>
      <c r="FK514" s="9"/>
      <c r="FL514" s="9"/>
      <c r="FM514" s="9"/>
      <c r="FN514" s="9"/>
      <c r="FO514" s="9"/>
      <c r="FP514" s="9"/>
      <c r="FQ514" s="9"/>
      <c r="FR514" s="9"/>
      <c r="FS514" s="9"/>
      <c r="FT514" s="9"/>
      <c r="FU514" s="9"/>
      <c r="FV514" s="9"/>
      <c r="FW514" s="9"/>
      <c r="FX514" s="9"/>
      <c r="FY514" s="9"/>
      <c r="FZ514" s="9"/>
      <c r="GA514" s="9"/>
      <c r="GB514" s="9"/>
      <c r="GC514" s="9"/>
      <c r="GD514" s="9"/>
      <c r="GE514" s="9"/>
      <c r="GF514" s="9"/>
      <c r="GG514" s="9"/>
      <c r="GH514" s="9"/>
      <c r="GI514" s="9"/>
      <c r="GJ514" s="9"/>
      <c r="GK514" s="9"/>
      <c r="GL514" s="9"/>
      <c r="GM514" s="9"/>
      <c r="GN514" s="9"/>
      <c r="GO514" s="9"/>
      <c r="GP514" s="9"/>
      <c r="GQ514" s="9"/>
      <c r="GR514" s="9"/>
      <c r="GS514" s="9"/>
      <c r="GT514" s="9"/>
      <c r="GU514" s="9"/>
      <c r="GV514" s="9"/>
      <c r="GW514" s="9"/>
      <c r="GX514" s="9"/>
      <c r="GY514" s="9"/>
      <c r="GZ514" s="9"/>
      <c r="HA514" s="9"/>
      <c r="HB514" s="9"/>
      <c r="HC514" s="9"/>
      <c r="HD514" s="9"/>
      <c r="HE514" s="9"/>
      <c r="HF514" s="9"/>
      <c r="HG514" s="9"/>
      <c r="HH514" s="9"/>
      <c r="HI514" s="9"/>
      <c r="HJ514" s="9"/>
      <c r="HK514" s="9"/>
      <c r="HL514" s="9"/>
      <c r="HM514" s="9"/>
      <c r="HN514" s="9"/>
      <c r="HO514" s="9"/>
      <c r="HP514" s="9"/>
      <c r="HQ514" s="9"/>
      <c r="HR514" s="9"/>
      <c r="HS514" s="9"/>
      <c r="HT514" s="9"/>
      <c r="HU514" s="9"/>
      <c r="HV514" s="9"/>
      <c r="HW514" s="9"/>
      <c r="HX514" s="9"/>
      <c r="HY514" s="9"/>
      <c r="HZ514" s="9"/>
      <c r="IA514" s="9"/>
      <c r="IB514" s="9"/>
      <c r="IC514" s="9"/>
      <c r="ID514" s="9"/>
      <c r="IE514" s="9"/>
      <c r="IF514" s="9"/>
      <c r="IG514" s="9"/>
      <c r="IH514" s="9"/>
      <c r="II514" s="9"/>
      <c r="IJ514" s="9"/>
      <c r="IK514" s="9"/>
      <c r="IL514" s="9"/>
      <c r="IM514" s="9"/>
      <c r="IN514" s="9"/>
      <c r="IO514" s="9"/>
      <c r="IP514" s="9"/>
      <c r="IQ514" s="9"/>
      <c r="IR514" s="9"/>
      <c r="IS514" s="9"/>
      <c r="IT514" s="9"/>
      <c r="IU514" s="9"/>
      <c r="IV514" s="9"/>
    </row>
    <row r="515" spans="1:256">
      <c r="A515" s="9" t="s">
        <v>823</v>
      </c>
      <c r="B515" s="9" t="s">
        <v>1671</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A516" s="9" t="s">
        <v>2246</v>
      </c>
      <c r="B516" s="9" t="s">
        <v>1672</v>
      </c>
      <c r="C516" s="9"/>
      <c r="D516" s="9"/>
      <c r="E516" s="9"/>
      <c r="F516" s="9"/>
      <c r="G516" s="9"/>
      <c r="H516" s="9"/>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9"/>
      <c r="AJ516" s="9"/>
      <c r="AK516" s="9"/>
      <c r="AL516" s="9"/>
      <c r="AM516" s="9"/>
      <c r="AN516" s="9"/>
      <c r="AO516" s="9"/>
      <c r="AP516" s="9"/>
      <c r="AQ516" s="9"/>
      <c r="AR516" s="9"/>
      <c r="AS516" s="9"/>
      <c r="AT516" s="9"/>
      <c r="AU516" s="9"/>
      <c r="AV516" s="9"/>
      <c r="AW516" s="9"/>
      <c r="AX516" s="9"/>
      <c r="AY516" s="9"/>
      <c r="AZ516" s="9"/>
      <c r="BA516" s="9"/>
      <c r="BB516" s="9"/>
      <c r="BC516" s="9"/>
      <c r="BD516" s="9"/>
      <c r="BE516" s="9"/>
      <c r="BF516" s="9"/>
      <c r="BG516" s="9"/>
      <c r="BH516" s="9"/>
      <c r="BI516" s="9"/>
      <c r="BJ516" s="9"/>
      <c r="BK516" s="9"/>
      <c r="BL516" s="9"/>
      <c r="BM516" s="9"/>
      <c r="BN516" s="9"/>
      <c r="BO516" s="9"/>
      <c r="BP516" s="9"/>
      <c r="BQ516" s="9"/>
      <c r="BR516" s="9"/>
      <c r="BS516" s="9"/>
      <c r="BT516" s="9"/>
      <c r="BU516" s="9"/>
      <c r="BV516" s="9"/>
      <c r="BW516" s="9"/>
      <c r="BX516" s="9"/>
      <c r="BY516" s="9"/>
      <c r="BZ516" s="9"/>
      <c r="CA516" s="9"/>
      <c r="CB516" s="9"/>
      <c r="CC516" s="9"/>
      <c r="CD516" s="9"/>
      <c r="CE516" s="9"/>
      <c r="CF516" s="9"/>
      <c r="CG516" s="9"/>
      <c r="CH516" s="9"/>
      <c r="CI516" s="9"/>
      <c r="CJ516" s="9"/>
      <c r="CK516" s="9"/>
      <c r="CL516" s="9"/>
      <c r="CM516" s="9"/>
      <c r="CN516" s="9"/>
      <c r="CO516" s="9"/>
      <c r="CP516" s="9"/>
      <c r="CQ516" s="9"/>
      <c r="CR516" s="9"/>
      <c r="CS516" s="9"/>
      <c r="CT516" s="9"/>
      <c r="CU516" s="9"/>
      <c r="CV516" s="9"/>
      <c r="CW516" s="9"/>
      <c r="CX516" s="9"/>
      <c r="CY516" s="9"/>
      <c r="CZ516" s="9"/>
      <c r="DA516" s="9"/>
      <c r="DB516" s="9"/>
      <c r="DC516" s="9"/>
      <c r="DD516" s="9"/>
      <c r="DE516" s="9"/>
      <c r="DF516" s="9"/>
      <c r="DG516" s="9"/>
      <c r="DH516" s="9"/>
      <c r="DI516" s="9"/>
      <c r="DJ516" s="9"/>
      <c r="DK516" s="9"/>
      <c r="DL516" s="9"/>
      <c r="DM516" s="9"/>
      <c r="DN516" s="9"/>
      <c r="DO516" s="9"/>
      <c r="DP516" s="9"/>
      <c r="DQ516" s="9"/>
      <c r="DR516" s="9"/>
      <c r="DS516" s="9"/>
      <c r="DT516" s="9"/>
      <c r="DU516" s="9"/>
      <c r="DV516" s="9"/>
      <c r="DW516" s="9"/>
      <c r="DX516" s="9"/>
      <c r="DY516" s="9"/>
      <c r="DZ516" s="9"/>
      <c r="EA516" s="9"/>
      <c r="EB516" s="9"/>
      <c r="EC516" s="9"/>
      <c r="ED516" s="9"/>
      <c r="EE516" s="9"/>
      <c r="EF516" s="9"/>
      <c r="EG516" s="9"/>
      <c r="EH516" s="9"/>
      <c r="EI516" s="9"/>
      <c r="EJ516" s="9"/>
      <c r="EK516" s="9"/>
      <c r="EL516" s="9"/>
      <c r="EM516" s="9"/>
      <c r="EN516" s="9"/>
      <c r="EO516" s="9"/>
      <c r="EP516" s="9"/>
      <c r="EQ516" s="9"/>
      <c r="ER516" s="9"/>
      <c r="ES516" s="9"/>
      <c r="ET516" s="9"/>
      <c r="EU516" s="9"/>
      <c r="EV516" s="9"/>
      <c r="EW516" s="9"/>
      <c r="EX516" s="9"/>
      <c r="EY516" s="9"/>
      <c r="EZ516" s="9"/>
      <c r="FA516" s="9"/>
      <c r="FB516" s="9"/>
      <c r="FC516" s="9"/>
      <c r="FD516" s="9"/>
      <c r="FE516" s="9"/>
      <c r="FF516" s="9"/>
      <c r="FG516" s="9"/>
      <c r="FH516" s="9"/>
      <c r="FI516" s="9"/>
      <c r="FJ516" s="9"/>
      <c r="FK516" s="9"/>
      <c r="FL516" s="9"/>
      <c r="FM516" s="9"/>
      <c r="FN516" s="9"/>
      <c r="FO516" s="9"/>
      <c r="FP516" s="9"/>
      <c r="FQ516" s="9"/>
      <c r="FR516" s="9"/>
      <c r="FS516" s="9"/>
      <c r="FT516" s="9"/>
      <c r="FU516" s="9"/>
      <c r="FV516" s="9"/>
      <c r="FW516" s="9"/>
      <c r="FX516" s="9"/>
      <c r="FY516" s="9"/>
      <c r="FZ516" s="9"/>
      <c r="GA516" s="9"/>
      <c r="GB516" s="9"/>
      <c r="GC516" s="9"/>
      <c r="GD516" s="9"/>
      <c r="GE516" s="9"/>
      <c r="GF516" s="9"/>
      <c r="GG516" s="9"/>
      <c r="GH516" s="9"/>
      <c r="GI516" s="9"/>
      <c r="GJ516" s="9"/>
      <c r="GK516" s="9"/>
      <c r="GL516" s="9"/>
      <c r="GM516" s="9"/>
      <c r="GN516" s="9"/>
      <c r="GO516" s="9"/>
      <c r="GP516" s="9"/>
      <c r="GQ516" s="9"/>
      <c r="GR516" s="9"/>
      <c r="GS516" s="9"/>
      <c r="GT516" s="9"/>
      <c r="GU516" s="9"/>
      <c r="GV516" s="9"/>
      <c r="GW516" s="9"/>
      <c r="GX516" s="9"/>
      <c r="GY516" s="9"/>
      <c r="GZ516" s="9"/>
      <c r="HA516" s="9"/>
      <c r="HB516" s="9"/>
      <c r="HC516" s="9"/>
      <c r="HD516" s="9"/>
      <c r="HE516" s="9"/>
      <c r="HF516" s="9"/>
      <c r="HG516" s="9"/>
      <c r="HH516" s="9"/>
      <c r="HI516" s="9"/>
      <c r="HJ516" s="9"/>
      <c r="HK516" s="9"/>
      <c r="HL516" s="9"/>
      <c r="HM516" s="9"/>
      <c r="HN516" s="9"/>
      <c r="HO516" s="9"/>
      <c r="HP516" s="9"/>
      <c r="HQ516" s="9"/>
      <c r="HR516" s="9"/>
      <c r="HS516" s="9"/>
      <c r="HT516" s="9"/>
      <c r="HU516" s="9"/>
      <c r="HV516" s="9"/>
      <c r="HW516" s="9"/>
      <c r="HX516" s="9"/>
      <c r="HY516" s="9"/>
      <c r="HZ516" s="9"/>
      <c r="IA516" s="9"/>
      <c r="IB516" s="9"/>
      <c r="IC516" s="9"/>
      <c r="ID516" s="9"/>
      <c r="IE516" s="9"/>
      <c r="IF516" s="9"/>
      <c r="IG516" s="9"/>
      <c r="IH516" s="9"/>
      <c r="II516" s="9"/>
      <c r="IJ516" s="9"/>
      <c r="IK516" s="9"/>
      <c r="IL516" s="9"/>
      <c r="IM516" s="9"/>
      <c r="IN516" s="9"/>
      <c r="IO516" s="9"/>
      <c r="IP516" s="9"/>
      <c r="IQ516" s="9"/>
      <c r="IR516" s="9"/>
      <c r="IS516" s="9"/>
      <c r="IT516" s="9"/>
      <c r="IU516" s="9"/>
      <c r="IV516" s="9"/>
    </row>
    <row r="517" spans="1:256">
      <c r="B517" s="9" t="s">
        <v>1241</v>
      </c>
      <c r="C517" s="9"/>
      <c r="D517" s="10"/>
      <c r="E517" s="9"/>
      <c r="F517" s="10"/>
      <c r="G517" s="9"/>
      <c r="H517" s="10"/>
      <c r="I517" s="9"/>
      <c r="J517" s="10"/>
      <c r="K517" s="9"/>
      <c r="L517" s="10"/>
      <c r="M517" s="9"/>
      <c r="N517" s="10"/>
      <c r="O517" s="9"/>
      <c r="P517" s="10"/>
      <c r="Q517" s="9"/>
      <c r="R517" s="10"/>
      <c r="S517" s="9"/>
      <c r="T517" s="10"/>
      <c r="U517" s="9"/>
      <c r="V517" s="10"/>
      <c r="W517" s="9"/>
      <c r="X517" s="10"/>
      <c r="Y517" s="9"/>
      <c r="Z517" s="10"/>
      <c r="AA517" s="9"/>
      <c r="AB517" s="10"/>
      <c r="AC517" s="9"/>
      <c r="AD517" s="10"/>
      <c r="AE517" s="9"/>
      <c r="AF517" s="10"/>
      <c r="AG517" s="9"/>
      <c r="AH517" s="10"/>
      <c r="AI517" s="9"/>
      <c r="AJ517" s="10"/>
      <c r="AK517" s="9"/>
      <c r="AL517" s="10"/>
      <c r="AM517" s="9"/>
      <c r="AN517" s="10"/>
      <c r="AO517" s="9"/>
      <c r="AP517" s="10"/>
      <c r="AQ517" s="9"/>
      <c r="AR517" s="10"/>
      <c r="AS517" s="9"/>
      <c r="AT517" s="10"/>
      <c r="AU517" s="9"/>
      <c r="AV517" s="10"/>
      <c r="AW517" s="9"/>
      <c r="AX517" s="10"/>
      <c r="AY517" s="9"/>
      <c r="AZ517" s="10"/>
      <c r="BA517" s="9"/>
      <c r="BB517" s="10"/>
      <c r="BC517" s="9"/>
      <c r="BD517" s="10"/>
      <c r="BE517" s="9"/>
      <c r="BF517" s="10"/>
      <c r="BG517" s="9"/>
      <c r="BH517" s="10"/>
      <c r="BI517" s="9"/>
      <c r="BJ517" s="10"/>
      <c r="BK517" s="9"/>
      <c r="BL517" s="10"/>
      <c r="BM517" s="9"/>
      <c r="BN517" s="10"/>
      <c r="BO517" s="9"/>
      <c r="BP517" s="10"/>
      <c r="BQ517" s="9"/>
      <c r="BR517" s="10"/>
      <c r="BS517" s="9"/>
      <c r="BT517" s="10"/>
      <c r="BU517" s="9"/>
      <c r="BV517" s="10"/>
      <c r="BW517" s="9"/>
      <c r="BX517" s="10"/>
      <c r="BY517" s="9"/>
      <c r="BZ517" s="10"/>
      <c r="CA517" s="9"/>
      <c r="CB517" s="10"/>
      <c r="CC517" s="9"/>
      <c r="CD517" s="10"/>
      <c r="CE517" s="9"/>
      <c r="CF517" s="10"/>
      <c r="CG517" s="9"/>
      <c r="CH517" s="10"/>
      <c r="CI517" s="9"/>
      <c r="CJ517" s="10"/>
      <c r="CK517" s="9"/>
      <c r="CL517" s="10"/>
      <c r="CM517" s="9"/>
      <c r="CN517" s="10"/>
      <c r="CO517" s="9"/>
      <c r="CP517" s="10"/>
      <c r="CQ517" s="9"/>
      <c r="CR517" s="10"/>
      <c r="CS517" s="9"/>
      <c r="CT517" s="10"/>
      <c r="CU517" s="9"/>
      <c r="CV517" s="10"/>
      <c r="CW517" s="9"/>
      <c r="CX517" s="10"/>
      <c r="CY517" s="9"/>
      <c r="CZ517" s="10"/>
      <c r="DA517" s="9"/>
      <c r="DB517" s="10"/>
      <c r="DC517" s="9"/>
      <c r="DD517" s="10"/>
      <c r="DE517" s="9"/>
      <c r="DF517" s="10"/>
      <c r="DG517" s="9"/>
      <c r="DH517" s="10"/>
      <c r="DI517" s="9"/>
      <c r="DJ517" s="10"/>
      <c r="DK517" s="9"/>
      <c r="DL517" s="10"/>
      <c r="DM517" s="9"/>
      <c r="DN517" s="10"/>
      <c r="DO517" s="9"/>
      <c r="DP517" s="10"/>
      <c r="DQ517" s="9"/>
      <c r="DR517" s="10"/>
      <c r="DS517" s="9"/>
      <c r="DT517" s="10"/>
      <c r="DU517" s="9"/>
      <c r="DV517" s="10"/>
      <c r="DW517" s="9"/>
      <c r="DX517" s="10"/>
      <c r="DY517" s="9"/>
      <c r="DZ517" s="10"/>
      <c r="EA517" s="9"/>
      <c r="EB517" s="10"/>
      <c r="EC517" s="9"/>
      <c r="ED517" s="10"/>
      <c r="EE517" s="9"/>
      <c r="EF517" s="10"/>
      <c r="EG517" s="9"/>
      <c r="EH517" s="10"/>
      <c r="EI517" s="9"/>
      <c r="EJ517" s="10"/>
      <c r="EK517" s="9"/>
      <c r="EL517" s="10"/>
      <c r="EM517" s="9"/>
      <c r="EN517" s="10"/>
      <c r="EO517" s="9"/>
      <c r="EP517" s="10"/>
      <c r="EQ517" s="9"/>
      <c r="ER517" s="10"/>
      <c r="ES517" s="9"/>
      <c r="ET517" s="10"/>
      <c r="EU517" s="9"/>
      <c r="EV517" s="10"/>
      <c r="EW517" s="9"/>
      <c r="EX517" s="10"/>
      <c r="EY517" s="9"/>
      <c r="EZ517" s="10"/>
      <c r="FA517" s="9"/>
      <c r="FB517" s="10"/>
      <c r="FC517" s="9"/>
      <c r="FD517" s="10"/>
      <c r="FE517" s="9"/>
      <c r="FF517" s="10"/>
      <c r="FG517" s="9"/>
      <c r="FH517" s="10"/>
      <c r="FI517" s="9"/>
      <c r="FJ517" s="10"/>
      <c r="FK517" s="9"/>
      <c r="FL517" s="10"/>
      <c r="FM517" s="9"/>
      <c r="FN517" s="10"/>
      <c r="FO517" s="9"/>
      <c r="FP517" s="10"/>
      <c r="FQ517" s="9"/>
      <c r="FR517" s="10"/>
      <c r="FS517" s="9"/>
      <c r="FT517" s="10"/>
      <c r="FU517" s="9"/>
      <c r="FV517" s="10"/>
      <c r="FW517" s="9"/>
      <c r="FX517" s="10"/>
      <c r="FY517" s="9"/>
      <c r="FZ517" s="10"/>
      <c r="GA517" s="9"/>
      <c r="GB517" s="10"/>
      <c r="GC517" s="9"/>
      <c r="GD517" s="10"/>
      <c r="GE517" s="9"/>
      <c r="GF517" s="10"/>
      <c r="GG517" s="9"/>
      <c r="GH517" s="10"/>
      <c r="GI517" s="9"/>
      <c r="GJ517" s="10"/>
      <c r="GK517" s="9"/>
      <c r="GL517" s="10"/>
      <c r="GM517" s="9"/>
      <c r="GN517" s="10"/>
      <c r="GO517" s="9"/>
      <c r="GP517" s="10"/>
      <c r="GQ517" s="9"/>
      <c r="GR517" s="10"/>
      <c r="GS517" s="9"/>
      <c r="GT517" s="10"/>
      <c r="GU517" s="9"/>
      <c r="GV517" s="10"/>
      <c r="GW517" s="9"/>
      <c r="GX517" s="10"/>
      <c r="GY517" s="9"/>
      <c r="GZ517" s="10"/>
      <c r="HA517" s="9"/>
      <c r="HB517" s="10"/>
      <c r="HC517" s="9"/>
      <c r="HD517" s="10"/>
      <c r="HE517" s="9"/>
      <c r="HF517" s="10"/>
      <c r="HG517" s="9"/>
      <c r="HH517" s="10"/>
      <c r="HI517" s="9"/>
      <c r="HJ517" s="10"/>
      <c r="HK517" s="9"/>
      <c r="HL517" s="10"/>
      <c r="HM517" s="9"/>
      <c r="HN517" s="10"/>
      <c r="HO517" s="9"/>
      <c r="HP517" s="10"/>
      <c r="HQ517" s="9"/>
      <c r="HR517" s="10"/>
      <c r="HS517" s="9"/>
      <c r="HT517" s="10"/>
      <c r="HU517" s="9"/>
      <c r="HV517" s="10"/>
      <c r="HW517" s="9"/>
      <c r="HX517" s="10"/>
      <c r="HY517" s="9"/>
      <c r="HZ517" s="10"/>
      <c r="IA517" s="9"/>
      <c r="IB517" s="10"/>
      <c r="IC517" s="9"/>
      <c r="ID517" s="10"/>
      <c r="IE517" s="9"/>
      <c r="IF517" s="10"/>
      <c r="IG517" s="9"/>
      <c r="IH517" s="10"/>
      <c r="II517" s="9"/>
      <c r="IJ517" s="10"/>
      <c r="IK517" s="9"/>
      <c r="IL517" s="10"/>
      <c r="IM517" s="9"/>
      <c r="IN517" s="10"/>
      <c r="IO517" s="9"/>
      <c r="IP517" s="10"/>
      <c r="IQ517" s="9"/>
      <c r="IR517" s="10"/>
      <c r="IS517" s="9"/>
      <c r="IT517" s="10"/>
      <c r="IU517" s="9"/>
      <c r="IV517" s="10"/>
    </row>
    <row r="518" spans="1:256">
      <c r="B518" s="9" t="s">
        <v>2175</v>
      </c>
      <c r="C518" s="9"/>
      <c r="D518" s="10"/>
      <c r="E518" s="9"/>
      <c r="F518" s="10"/>
      <c r="G518" s="9"/>
      <c r="H518" s="10"/>
      <c r="I518" s="9"/>
      <c r="J518" s="10"/>
      <c r="K518" s="9"/>
      <c r="L518" s="10"/>
      <c r="M518" s="9"/>
      <c r="N518" s="10"/>
      <c r="O518" s="9"/>
      <c r="P518" s="10"/>
      <c r="Q518" s="9"/>
      <c r="R518" s="10"/>
      <c r="S518" s="9"/>
      <c r="T518" s="10"/>
      <c r="U518" s="9"/>
      <c r="V518" s="10"/>
      <c r="W518" s="9"/>
      <c r="X518" s="10"/>
      <c r="Y518" s="9"/>
      <c r="Z518" s="10"/>
      <c r="AA518" s="9"/>
      <c r="AB518" s="10"/>
      <c r="AC518" s="9"/>
      <c r="AD518" s="10"/>
      <c r="AE518" s="9"/>
      <c r="AF518" s="10"/>
      <c r="AG518" s="9"/>
      <c r="AH518" s="10"/>
      <c r="AI518" s="9"/>
      <c r="AJ518" s="10"/>
      <c r="AK518" s="9"/>
      <c r="AL518" s="10"/>
      <c r="AM518" s="9"/>
      <c r="AN518" s="10"/>
      <c r="AO518" s="9"/>
      <c r="AP518" s="10"/>
      <c r="AQ518" s="9"/>
      <c r="AR518" s="10"/>
      <c r="AS518" s="9"/>
      <c r="AT518" s="10"/>
      <c r="AU518" s="9"/>
      <c r="AV518" s="10"/>
      <c r="AW518" s="9"/>
      <c r="AX518" s="10"/>
      <c r="AY518" s="9"/>
      <c r="AZ518" s="10"/>
      <c r="BA518" s="9"/>
      <c r="BB518" s="10"/>
      <c r="BC518" s="9"/>
      <c r="BD518" s="10"/>
      <c r="BE518" s="9"/>
      <c r="BF518" s="10"/>
      <c r="BG518" s="9"/>
      <c r="BH518" s="10"/>
      <c r="BI518" s="9"/>
      <c r="BJ518" s="10"/>
      <c r="BK518" s="9"/>
      <c r="BL518" s="10"/>
      <c r="BM518" s="9"/>
      <c r="BN518" s="10"/>
      <c r="BO518" s="9"/>
      <c r="BP518" s="10"/>
      <c r="BQ518" s="9"/>
      <c r="BR518" s="10"/>
      <c r="BS518" s="9"/>
      <c r="BT518" s="10"/>
      <c r="BU518" s="9"/>
      <c r="BV518" s="10"/>
      <c r="BW518" s="9"/>
      <c r="BX518" s="10"/>
      <c r="BY518" s="9"/>
      <c r="BZ518" s="10"/>
      <c r="CA518" s="9"/>
      <c r="CB518" s="10"/>
      <c r="CC518" s="9"/>
      <c r="CD518" s="10"/>
      <c r="CE518" s="9"/>
      <c r="CF518" s="10"/>
      <c r="CG518" s="9"/>
      <c r="CH518" s="10"/>
      <c r="CI518" s="9"/>
      <c r="CJ518" s="10"/>
      <c r="CK518" s="9"/>
      <c r="CL518" s="10"/>
      <c r="CM518" s="9"/>
      <c r="CN518" s="10"/>
      <c r="CO518" s="9"/>
      <c r="CP518" s="10"/>
      <c r="CQ518" s="9"/>
      <c r="CR518" s="10"/>
      <c r="CS518" s="9"/>
      <c r="CT518" s="10"/>
      <c r="CU518" s="9"/>
      <c r="CV518" s="10"/>
      <c r="CW518" s="9"/>
      <c r="CX518" s="10"/>
      <c r="CY518" s="9"/>
      <c r="CZ518" s="10"/>
      <c r="DA518" s="9"/>
      <c r="DB518" s="10"/>
      <c r="DC518" s="9"/>
      <c r="DD518" s="10"/>
      <c r="DE518" s="9"/>
      <c r="DF518" s="10"/>
      <c r="DG518" s="9"/>
      <c r="DH518" s="10"/>
      <c r="DI518" s="9"/>
      <c r="DJ518" s="10"/>
      <c r="DK518" s="9"/>
      <c r="DL518" s="10"/>
      <c r="DM518" s="9"/>
      <c r="DN518" s="10"/>
      <c r="DO518" s="9"/>
      <c r="DP518" s="10"/>
      <c r="DQ518" s="9"/>
      <c r="DR518" s="10"/>
      <c r="DS518" s="9"/>
      <c r="DT518" s="10"/>
      <c r="DU518" s="9"/>
      <c r="DV518" s="10"/>
      <c r="DW518" s="9"/>
      <c r="DX518" s="10"/>
      <c r="DY518" s="9"/>
      <c r="DZ518" s="10"/>
      <c r="EA518" s="9"/>
      <c r="EB518" s="10"/>
      <c r="EC518" s="9"/>
      <c r="ED518" s="10"/>
      <c r="EE518" s="9"/>
      <c r="EF518" s="10"/>
      <c r="EG518" s="9"/>
      <c r="EH518" s="10"/>
      <c r="EI518" s="9"/>
      <c r="EJ518" s="10"/>
      <c r="EK518" s="9"/>
      <c r="EL518" s="10"/>
      <c r="EM518" s="9"/>
      <c r="EN518" s="10"/>
      <c r="EO518" s="9"/>
      <c r="EP518" s="10"/>
      <c r="EQ518" s="9"/>
      <c r="ER518" s="10"/>
      <c r="ES518" s="9"/>
      <c r="ET518" s="10"/>
      <c r="EU518" s="9"/>
      <c r="EV518" s="10"/>
      <c r="EW518" s="9"/>
      <c r="EX518" s="10"/>
      <c r="EY518" s="9"/>
      <c r="EZ518" s="10"/>
      <c r="FA518" s="9"/>
      <c r="FB518" s="10"/>
      <c r="FC518" s="9"/>
      <c r="FD518" s="10"/>
      <c r="FE518" s="9"/>
      <c r="FF518" s="10"/>
      <c r="FG518" s="9"/>
      <c r="FH518" s="10"/>
      <c r="FI518" s="9"/>
      <c r="FJ518" s="10"/>
      <c r="FK518" s="9"/>
      <c r="FL518" s="10"/>
      <c r="FM518" s="9"/>
      <c r="FN518" s="10"/>
      <c r="FO518" s="9"/>
      <c r="FP518" s="10"/>
      <c r="FQ518" s="9"/>
      <c r="FR518" s="10"/>
      <c r="FS518" s="9"/>
      <c r="FT518" s="10"/>
      <c r="FU518" s="9"/>
      <c r="FV518" s="10"/>
      <c r="FW518" s="9"/>
      <c r="FX518" s="10"/>
      <c r="FY518" s="9"/>
      <c r="FZ518" s="10"/>
      <c r="GA518" s="9"/>
      <c r="GB518" s="10"/>
      <c r="GC518" s="9"/>
      <c r="GD518" s="10"/>
      <c r="GE518" s="9"/>
      <c r="GF518" s="10"/>
      <c r="GG518" s="9"/>
      <c r="GH518" s="10"/>
      <c r="GI518" s="9"/>
      <c r="GJ518" s="10"/>
      <c r="GK518" s="9"/>
      <c r="GL518" s="10"/>
      <c r="GM518" s="9"/>
      <c r="GN518" s="10"/>
      <c r="GO518" s="9"/>
      <c r="GP518" s="10"/>
      <c r="GQ518" s="9"/>
      <c r="GR518" s="10"/>
      <c r="GS518" s="9"/>
      <c r="GT518" s="10"/>
      <c r="GU518" s="9"/>
      <c r="GV518" s="10"/>
      <c r="GW518" s="9"/>
      <c r="GX518" s="10"/>
      <c r="GY518" s="9"/>
      <c r="GZ518" s="10"/>
      <c r="HA518" s="9"/>
      <c r="HB518" s="10"/>
      <c r="HC518" s="9"/>
      <c r="HD518" s="10"/>
      <c r="HE518" s="9"/>
      <c r="HF518" s="10"/>
      <c r="HG518" s="9"/>
      <c r="HH518" s="10"/>
      <c r="HI518" s="9"/>
      <c r="HJ518" s="10"/>
      <c r="HK518" s="9"/>
      <c r="HL518" s="10"/>
      <c r="HM518" s="9"/>
      <c r="HN518" s="10"/>
      <c r="HO518" s="9"/>
      <c r="HP518" s="10"/>
      <c r="HQ518" s="9"/>
      <c r="HR518" s="10"/>
      <c r="HS518" s="9"/>
      <c r="HT518" s="10"/>
      <c r="HU518" s="9"/>
      <c r="HV518" s="10"/>
      <c r="HW518" s="9"/>
      <c r="HX518" s="10"/>
      <c r="HY518" s="9"/>
      <c r="HZ518" s="10"/>
      <c r="IA518" s="9"/>
      <c r="IB518" s="10"/>
      <c r="IC518" s="9"/>
      <c r="ID518" s="10"/>
      <c r="IE518" s="9"/>
      <c r="IF518" s="10"/>
      <c r="IG518" s="9"/>
      <c r="IH518" s="10"/>
      <c r="II518" s="9"/>
      <c r="IJ518" s="10"/>
      <c r="IK518" s="9"/>
      <c r="IL518" s="10"/>
      <c r="IM518" s="9"/>
      <c r="IN518" s="10"/>
      <c r="IO518" s="9"/>
      <c r="IP518" s="10"/>
      <c r="IQ518" s="9"/>
      <c r="IR518" s="10"/>
      <c r="IS518" s="9"/>
      <c r="IT518" s="10"/>
      <c r="IU518" s="9"/>
      <c r="IV518" s="10"/>
    </row>
    <row r="519" spans="1:256">
      <c r="B519" s="10" t="s">
        <v>2176</v>
      </c>
      <c r="C519" s="9"/>
      <c r="D519" s="10"/>
      <c r="E519" s="9"/>
      <c r="F519" s="10"/>
      <c r="G519" s="9"/>
      <c r="H519" s="10"/>
      <c r="I519" s="9"/>
      <c r="J519" s="10"/>
      <c r="K519" s="9"/>
      <c r="L519" s="10"/>
      <c r="M519" s="9"/>
      <c r="N519" s="10"/>
      <c r="O519" s="9"/>
      <c r="P519" s="10"/>
      <c r="Q519" s="9"/>
      <c r="R519" s="10"/>
      <c r="S519" s="9"/>
      <c r="T519" s="10"/>
      <c r="U519" s="9"/>
      <c r="V519" s="10"/>
      <c r="W519" s="9"/>
      <c r="X519" s="10"/>
      <c r="Y519" s="9"/>
      <c r="Z519" s="10"/>
      <c r="AA519" s="9"/>
      <c r="AB519" s="10"/>
      <c r="AC519" s="9"/>
      <c r="AD519" s="10"/>
      <c r="AE519" s="9"/>
      <c r="AF519" s="10"/>
      <c r="AG519" s="9"/>
      <c r="AH519" s="10"/>
      <c r="AI519" s="9"/>
      <c r="AJ519" s="10"/>
      <c r="AK519" s="9"/>
      <c r="AL519" s="10"/>
      <c r="AM519" s="9"/>
      <c r="AN519" s="10"/>
      <c r="AO519" s="9"/>
      <c r="AP519" s="10"/>
      <c r="AQ519" s="9"/>
      <c r="AR519" s="10"/>
      <c r="AS519" s="9"/>
      <c r="AT519" s="10"/>
      <c r="AU519" s="9"/>
      <c r="AV519" s="10"/>
      <c r="AW519" s="9"/>
      <c r="AX519" s="10"/>
      <c r="AY519" s="9"/>
      <c r="AZ519" s="10"/>
      <c r="BA519" s="9"/>
      <c r="BB519" s="10"/>
      <c r="BC519" s="9"/>
      <c r="BD519" s="10"/>
      <c r="BE519" s="9"/>
      <c r="BF519" s="10"/>
      <c r="BG519" s="9"/>
      <c r="BH519" s="10"/>
      <c r="BI519" s="9"/>
      <c r="BJ519" s="10"/>
      <c r="BK519" s="9"/>
      <c r="BL519" s="10"/>
      <c r="BM519" s="9"/>
      <c r="BN519" s="10"/>
      <c r="BO519" s="9"/>
      <c r="BP519" s="10"/>
      <c r="BQ519" s="9"/>
      <c r="BR519" s="10"/>
      <c r="BS519" s="9"/>
      <c r="BT519" s="10"/>
      <c r="BU519" s="9"/>
      <c r="BV519" s="10"/>
      <c r="BW519" s="9"/>
      <c r="BX519" s="10"/>
      <c r="BY519" s="9"/>
      <c r="BZ519" s="10"/>
      <c r="CA519" s="9"/>
      <c r="CB519" s="10"/>
      <c r="CC519" s="9"/>
      <c r="CD519" s="10"/>
      <c r="CE519" s="9"/>
      <c r="CF519" s="10"/>
      <c r="CG519" s="9"/>
      <c r="CH519" s="10"/>
      <c r="CI519" s="9"/>
      <c r="CJ519" s="10"/>
      <c r="CK519" s="9"/>
      <c r="CL519" s="10"/>
      <c r="CM519" s="9"/>
      <c r="CN519" s="10"/>
      <c r="CO519" s="9"/>
      <c r="CP519" s="10"/>
      <c r="CQ519" s="9"/>
      <c r="CR519" s="10"/>
      <c r="CS519" s="9"/>
      <c r="CT519" s="10"/>
      <c r="CU519" s="9"/>
      <c r="CV519" s="10"/>
      <c r="CW519" s="9"/>
      <c r="CX519" s="10"/>
      <c r="CY519" s="9"/>
      <c r="CZ519" s="10"/>
      <c r="DA519" s="9"/>
      <c r="DB519" s="10"/>
      <c r="DC519" s="9"/>
      <c r="DD519" s="10"/>
      <c r="DE519" s="9"/>
      <c r="DF519" s="10"/>
      <c r="DG519" s="9"/>
      <c r="DH519" s="10"/>
      <c r="DI519" s="9"/>
      <c r="DJ519" s="10"/>
      <c r="DK519" s="9"/>
      <c r="DL519" s="10"/>
      <c r="DM519" s="9"/>
      <c r="DN519" s="10"/>
      <c r="DO519" s="9"/>
      <c r="DP519" s="10"/>
      <c r="DQ519" s="9"/>
      <c r="DR519" s="10"/>
      <c r="DS519" s="9"/>
      <c r="DT519" s="10"/>
      <c r="DU519" s="9"/>
      <c r="DV519" s="10"/>
      <c r="DW519" s="9"/>
      <c r="DX519" s="10"/>
      <c r="DY519" s="9"/>
      <c r="DZ519" s="10"/>
      <c r="EA519" s="9"/>
      <c r="EB519" s="10"/>
      <c r="EC519" s="9"/>
      <c r="ED519" s="10"/>
      <c r="EE519" s="9"/>
      <c r="EF519" s="10"/>
      <c r="EG519" s="9"/>
      <c r="EH519" s="10"/>
      <c r="EI519" s="9"/>
      <c r="EJ519" s="10"/>
      <c r="EK519" s="9"/>
      <c r="EL519" s="10"/>
      <c r="EM519" s="9"/>
      <c r="EN519" s="10"/>
      <c r="EO519" s="9"/>
      <c r="EP519" s="10"/>
      <c r="EQ519" s="9"/>
      <c r="ER519" s="10"/>
      <c r="ES519" s="9"/>
      <c r="ET519" s="10"/>
      <c r="EU519" s="9"/>
      <c r="EV519" s="10"/>
      <c r="EW519" s="9"/>
      <c r="EX519" s="10"/>
      <c r="EY519" s="9"/>
      <c r="EZ519" s="10"/>
      <c r="FA519" s="9"/>
      <c r="FB519" s="10"/>
      <c r="FC519" s="9"/>
      <c r="FD519" s="10"/>
      <c r="FE519" s="9"/>
      <c r="FF519" s="10"/>
      <c r="FG519" s="9"/>
      <c r="FH519" s="10"/>
      <c r="FI519" s="9"/>
      <c r="FJ519" s="10"/>
      <c r="FK519" s="9"/>
      <c r="FL519" s="10"/>
      <c r="FM519" s="9"/>
      <c r="FN519" s="10"/>
      <c r="FO519" s="9"/>
      <c r="FP519" s="10"/>
      <c r="FQ519" s="9"/>
      <c r="FR519" s="10"/>
      <c r="FS519" s="9"/>
      <c r="FT519" s="10"/>
      <c r="FU519" s="9"/>
      <c r="FV519" s="10"/>
      <c r="FW519" s="9"/>
      <c r="FX519" s="10"/>
      <c r="FY519" s="9"/>
      <c r="FZ519" s="10"/>
      <c r="GA519" s="9"/>
      <c r="GB519" s="10"/>
      <c r="GC519" s="9"/>
      <c r="GD519" s="10"/>
      <c r="GE519" s="9"/>
      <c r="GF519" s="10"/>
      <c r="GG519" s="9"/>
      <c r="GH519" s="10"/>
      <c r="GI519" s="9"/>
      <c r="GJ519" s="10"/>
      <c r="GK519" s="9"/>
      <c r="GL519" s="10"/>
      <c r="GM519" s="9"/>
      <c r="GN519" s="10"/>
      <c r="GO519" s="9"/>
      <c r="GP519" s="10"/>
      <c r="GQ519" s="9"/>
      <c r="GR519" s="10"/>
      <c r="GS519" s="9"/>
      <c r="GT519" s="10"/>
      <c r="GU519" s="9"/>
      <c r="GV519" s="10"/>
      <c r="GW519" s="9"/>
      <c r="GX519" s="10"/>
      <c r="GY519" s="9"/>
      <c r="GZ519" s="10"/>
      <c r="HA519" s="9"/>
      <c r="HB519" s="10"/>
      <c r="HC519" s="9"/>
      <c r="HD519" s="10"/>
      <c r="HE519" s="9"/>
      <c r="HF519" s="10"/>
      <c r="HG519" s="9"/>
      <c r="HH519" s="10"/>
      <c r="HI519" s="9"/>
      <c r="HJ519" s="10"/>
      <c r="HK519" s="9"/>
      <c r="HL519" s="10"/>
      <c r="HM519" s="9"/>
      <c r="HN519" s="10"/>
      <c r="HO519" s="9"/>
      <c r="HP519" s="10"/>
      <c r="HQ519" s="9"/>
      <c r="HR519" s="10"/>
      <c r="HS519" s="9"/>
      <c r="HT519" s="10"/>
      <c r="HU519" s="9"/>
      <c r="HV519" s="10"/>
      <c r="HW519" s="9"/>
      <c r="HX519" s="10"/>
      <c r="HY519" s="9"/>
      <c r="HZ519" s="10"/>
      <c r="IA519" s="9"/>
      <c r="IB519" s="10"/>
      <c r="IC519" s="9"/>
      <c r="ID519" s="10"/>
      <c r="IE519" s="9"/>
      <c r="IF519" s="10"/>
      <c r="IG519" s="9"/>
      <c r="IH519" s="10"/>
      <c r="II519" s="9"/>
      <c r="IJ519" s="10"/>
      <c r="IK519" s="9"/>
      <c r="IL519" s="10"/>
      <c r="IM519" s="9"/>
      <c r="IN519" s="10"/>
      <c r="IO519" s="9"/>
      <c r="IP519" s="10"/>
      <c r="IQ519" s="9"/>
      <c r="IR519" s="10"/>
      <c r="IS519" s="9"/>
      <c r="IT519" s="10"/>
      <c r="IU519" s="9"/>
      <c r="IV519" s="10"/>
    </row>
    <row r="520" spans="1:256">
      <c r="A520" s="9" t="s">
        <v>2247</v>
      </c>
      <c r="B520" s="9" t="s">
        <v>2177</v>
      </c>
    </row>
    <row r="521" spans="1:256">
      <c r="A521" s="9" t="s">
        <v>2178</v>
      </c>
      <c r="B521" s="10" t="s">
        <v>2179</v>
      </c>
    </row>
    <row r="522" spans="1:256">
      <c r="B522" s="10" t="s">
        <v>2180</v>
      </c>
    </row>
    <row r="523" spans="1:256">
      <c r="B523" s="10"/>
    </row>
    <row r="524" spans="1:256">
      <c r="A524" s="9" t="s">
        <v>1670</v>
      </c>
    </row>
    <row r="525" spans="1:256">
      <c r="A525" s="9" t="s">
        <v>2246</v>
      </c>
      <c r="B525" s="9" t="s">
        <v>1669</v>
      </c>
    </row>
    <row r="526" spans="1:256">
      <c r="B526" s="9" t="s">
        <v>2210</v>
      </c>
      <c r="J526" s="10"/>
    </row>
    <row r="527" spans="1:256">
      <c r="A527" s="9" t="s">
        <v>2247</v>
      </c>
      <c r="B527" s="9" t="s">
        <v>161</v>
      </c>
    </row>
    <row r="529" spans="1:2">
      <c r="A529" s="9" t="s">
        <v>1579</v>
      </c>
      <c r="B529" s="9" t="s">
        <v>1580</v>
      </c>
    </row>
    <row r="530" spans="1:2">
      <c r="A530" s="9" t="s">
        <v>1583</v>
      </c>
      <c r="B530" s="9" t="s">
        <v>1584</v>
      </c>
    </row>
    <row r="531" spans="1:2">
      <c r="B531" s="9" t="s">
        <v>1582</v>
      </c>
    </row>
    <row r="532" spans="1:2">
      <c r="B532" s="9" t="s">
        <v>1426</v>
      </c>
    </row>
    <row r="533" spans="1:2">
      <c r="B533" s="9" t="s">
        <v>1715</v>
      </c>
    </row>
    <row r="534" spans="1:2">
      <c r="B534" s="9" t="s">
        <v>1716</v>
      </c>
    </row>
    <row r="535" spans="1:2">
      <c r="B535" s="9" t="s">
        <v>219</v>
      </c>
    </row>
    <row r="536" spans="1:2">
      <c r="B536" s="9" t="s">
        <v>220</v>
      </c>
    </row>
    <row r="537" spans="1:2">
      <c r="B537" s="9" t="s">
        <v>221</v>
      </c>
    </row>
    <row r="539" spans="1:2">
      <c r="A539" s="9" t="s">
        <v>725</v>
      </c>
    </row>
    <row r="540" spans="1:2">
      <c r="A540" s="9" t="s">
        <v>2246</v>
      </c>
      <c r="B540" s="10" t="s">
        <v>724</v>
      </c>
    </row>
    <row r="541" spans="1:2">
      <c r="B541" s="9" t="s">
        <v>936</v>
      </c>
    </row>
    <row r="542" spans="1:2">
      <c r="A542" s="9" t="s">
        <v>1565</v>
      </c>
      <c r="B542" s="9" t="s">
        <v>543</v>
      </c>
    </row>
    <row r="543" spans="1:2">
      <c r="A543" s="9" t="s">
        <v>2247</v>
      </c>
      <c r="B543" s="285" t="s">
        <v>1437</v>
      </c>
    </row>
    <row r="544" spans="1:2">
      <c r="B544" s="10" t="s">
        <v>282</v>
      </c>
    </row>
    <row r="545" spans="1:6">
      <c r="B545" s="10" t="s">
        <v>278</v>
      </c>
    </row>
    <row r="546" spans="1:6">
      <c r="B546" s="10" t="s">
        <v>1759</v>
      </c>
    </row>
    <row r="547" spans="1:6">
      <c r="B547" s="10" t="s">
        <v>1529</v>
      </c>
    </row>
    <row r="548" spans="1:6">
      <c r="B548" s="10" t="s">
        <v>544</v>
      </c>
    </row>
    <row r="549" spans="1:6">
      <c r="B549" s="48" t="s">
        <v>1429</v>
      </c>
    </row>
    <row r="550" spans="1:6">
      <c r="B550" s="126" t="s">
        <v>1428</v>
      </c>
    </row>
    <row r="551" spans="1:6">
      <c r="B551" s="10" t="s">
        <v>280</v>
      </c>
    </row>
    <row r="552" spans="1:6">
      <c r="B552" s="10" t="s">
        <v>547</v>
      </c>
    </row>
    <row r="553" spans="1:6">
      <c r="B553" s="10" t="s">
        <v>281</v>
      </c>
    </row>
    <row r="554" spans="1:6">
      <c r="B554" s="10" t="s">
        <v>1431</v>
      </c>
    </row>
    <row r="555" spans="1:6">
      <c r="B555" s="10" t="s">
        <v>1430</v>
      </c>
    </row>
    <row r="556" spans="1:6">
      <c r="B556" s="10" t="s">
        <v>1530</v>
      </c>
    </row>
    <row r="557" spans="1:6">
      <c r="A557" s="2"/>
      <c r="B557" s="10" t="s">
        <v>279</v>
      </c>
    </row>
    <row r="558" spans="1:6">
      <c r="A558" s="2"/>
      <c r="B558" s="10" t="s">
        <v>726</v>
      </c>
      <c r="F558" s="286"/>
    </row>
    <row r="559" spans="1:6">
      <c r="A559" s="2"/>
      <c r="B559" s="10" t="s">
        <v>545</v>
      </c>
    </row>
    <row r="560" spans="1:6">
      <c r="A560" s="2"/>
      <c r="B560" s="10" t="s">
        <v>1432</v>
      </c>
    </row>
    <row r="561" spans="1:2">
      <c r="A561" s="2"/>
      <c r="B561" s="10" t="s">
        <v>1301</v>
      </c>
    </row>
    <row r="562" spans="1:2">
      <c r="A562" s="2"/>
      <c r="B562" s="10" t="s">
        <v>1436</v>
      </c>
    </row>
    <row r="563" spans="1:2">
      <c r="A563" s="2"/>
      <c r="B563" s="10" t="s">
        <v>277</v>
      </c>
    </row>
    <row r="564" spans="1:2">
      <c r="A564" s="2"/>
      <c r="B564" s="10" t="s">
        <v>1433</v>
      </c>
    </row>
    <row r="565" spans="1:2">
      <c r="A565" s="2"/>
      <c r="B565" s="10" t="s">
        <v>1434</v>
      </c>
    </row>
    <row r="566" spans="1:2">
      <c r="A566" s="2"/>
      <c r="B566" s="10" t="s">
        <v>1435</v>
      </c>
    </row>
    <row r="567" spans="1:2">
      <c r="A567" s="2"/>
      <c r="B567" s="10" t="s">
        <v>1762</v>
      </c>
    </row>
    <row r="568" spans="1:2">
      <c r="A568" s="2"/>
      <c r="B568" s="10" t="s">
        <v>1527</v>
      </c>
    </row>
    <row r="569" spans="1:2">
      <c r="A569" s="2"/>
      <c r="B569" s="10" t="s">
        <v>1524</v>
      </c>
    </row>
    <row r="570" spans="1:2">
      <c r="A570" s="2"/>
      <c r="B570" s="10" t="s">
        <v>1528</v>
      </c>
    </row>
    <row r="571" spans="1:2">
      <c r="A571" s="2"/>
      <c r="B571" s="10" t="s">
        <v>1525</v>
      </c>
    </row>
    <row r="572" spans="1:2">
      <c r="A572" s="2"/>
      <c r="B572" s="10" t="s">
        <v>1526</v>
      </c>
    </row>
    <row r="573" spans="1:2">
      <c r="A573" s="2"/>
      <c r="B573" s="10" t="s">
        <v>1761</v>
      </c>
    </row>
    <row r="574" spans="1:2">
      <c r="A574" s="2"/>
      <c r="B574" s="10" t="s">
        <v>1420</v>
      </c>
    </row>
    <row r="575" spans="1:2">
      <c r="A575" s="2"/>
      <c r="B575" s="10" t="s">
        <v>1765</v>
      </c>
    </row>
    <row r="576" spans="1:2">
      <c r="A576" s="2"/>
      <c r="B576" s="10" t="s">
        <v>1760</v>
      </c>
    </row>
    <row r="577" spans="1:2">
      <c r="A577" s="2"/>
      <c r="B577" s="10" t="s">
        <v>1766</v>
      </c>
    </row>
    <row r="578" spans="1:2">
      <c r="A578" s="2"/>
      <c r="B578" s="10" t="s">
        <v>1764</v>
      </c>
    </row>
    <row r="579" spans="1:2">
      <c r="A579" s="2"/>
      <c r="B579" s="10" t="s">
        <v>1763</v>
      </c>
    </row>
    <row r="580" spans="1:2">
      <c r="A580" s="2"/>
      <c r="B580" s="10" t="s">
        <v>1767</v>
      </c>
    </row>
    <row r="581" spans="1:2">
      <c r="A581" s="2"/>
      <c r="B581" s="10" t="s">
        <v>546</v>
      </c>
    </row>
    <row r="582" spans="1:2">
      <c r="A582" s="2"/>
      <c r="B582" s="10" t="s">
        <v>159</v>
      </c>
    </row>
    <row r="583" spans="1:2">
      <c r="A583" s="2"/>
      <c r="B583" s="10" t="s">
        <v>1421</v>
      </c>
    </row>
    <row r="584" spans="1:2">
      <c r="A584" s="2"/>
      <c r="B584" s="10" t="s">
        <v>1422</v>
      </c>
    </row>
    <row r="585" spans="1:2">
      <c r="A585" s="2"/>
      <c r="B585" s="10" t="s">
        <v>1423</v>
      </c>
    </row>
    <row r="586" spans="1:2">
      <c r="A586" s="2"/>
      <c r="B586" s="10" t="s">
        <v>158</v>
      </c>
    </row>
    <row r="587" spans="1:2">
      <c r="A587" s="2"/>
      <c r="B587" s="10"/>
    </row>
    <row r="588" spans="1:2">
      <c r="A588" s="2"/>
      <c r="B588" s="10"/>
    </row>
    <row r="589" spans="1:2">
      <c r="A589" s="2"/>
      <c r="B589" s="285" t="s">
        <v>542</v>
      </c>
    </row>
    <row r="590" spans="1:2">
      <c r="B590" s="286" t="s">
        <v>548</v>
      </c>
    </row>
    <row r="592" spans="1:2">
      <c r="A592" s="9" t="s">
        <v>1030</v>
      </c>
    </row>
    <row r="593" spans="1:2">
      <c r="A593" s="9" t="s">
        <v>276</v>
      </c>
      <c r="B593" s="9" t="s">
        <v>962</v>
      </c>
    </row>
    <row r="594" spans="1:2">
      <c r="A594" s="9" t="s">
        <v>273</v>
      </c>
      <c r="B594" s="9" t="s">
        <v>962</v>
      </c>
    </row>
    <row r="595" spans="1:2">
      <c r="A595" s="9" t="s">
        <v>1342</v>
      </c>
      <c r="B595" s="9" t="s">
        <v>962</v>
      </c>
    </row>
    <row r="596" spans="1:2">
      <c r="A596" s="9" t="s">
        <v>1564</v>
      </c>
      <c r="B596" s="9" t="s">
        <v>962</v>
      </c>
    </row>
    <row r="597" spans="1:2">
      <c r="A597" s="9" t="s">
        <v>1899</v>
      </c>
      <c r="B597" s="9" t="s">
        <v>2245</v>
      </c>
    </row>
    <row r="598" spans="1:2">
      <c r="A598" s="9" t="s">
        <v>1663</v>
      </c>
      <c r="B598" s="9" t="s">
        <v>2245</v>
      </c>
    </row>
    <row r="599" spans="1:2">
      <c r="A599" s="9" t="s">
        <v>1917</v>
      </c>
      <c r="B599" s="9" t="s">
        <v>2245</v>
      </c>
    </row>
    <row r="600" spans="1:2">
      <c r="A600" s="9" t="s">
        <v>2229</v>
      </c>
      <c r="B600" s="9" t="s">
        <v>962</v>
      </c>
    </row>
    <row r="601" spans="1:2">
      <c r="A601" s="9" t="s">
        <v>806</v>
      </c>
      <c r="B601" s="9" t="s">
        <v>962</v>
      </c>
    </row>
    <row r="602" spans="1:2">
      <c r="A602" s="9" t="s">
        <v>804</v>
      </c>
      <c r="B602" s="9" t="s">
        <v>962</v>
      </c>
    </row>
    <row r="603" spans="1:2">
      <c r="A603" s="9" t="s">
        <v>2073</v>
      </c>
      <c r="B603" s="9" t="s">
        <v>962</v>
      </c>
    </row>
    <row r="604" spans="1:2">
      <c r="A604" s="9" t="s">
        <v>1852</v>
      </c>
      <c r="B604" s="10" t="s">
        <v>962</v>
      </c>
    </row>
    <row r="605" spans="1:2">
      <c r="A605" s="9" t="s">
        <v>1851</v>
      </c>
      <c r="B605" s="9" t="s">
        <v>2245</v>
      </c>
    </row>
    <row r="606" spans="1:2">
      <c r="A606" s="9" t="s">
        <v>1469</v>
      </c>
      <c r="B606" s="9" t="s">
        <v>2245</v>
      </c>
    </row>
    <row r="607" spans="1:2">
      <c r="A607" s="9" t="s">
        <v>819</v>
      </c>
      <c r="B607" s="9" t="s">
        <v>962</v>
      </c>
    </row>
    <row r="608" spans="1:2">
      <c r="A608" s="9" t="s">
        <v>930</v>
      </c>
      <c r="B608" s="9" t="s">
        <v>2245</v>
      </c>
    </row>
    <row r="609" spans="1:8">
      <c r="A609" s="9" t="s">
        <v>929</v>
      </c>
      <c r="B609" s="9" t="s">
        <v>962</v>
      </c>
    </row>
    <row r="610" spans="1:8">
      <c r="A610" s="9" t="s">
        <v>2244</v>
      </c>
      <c r="B610" s="9" t="s">
        <v>962</v>
      </c>
    </row>
    <row r="611" spans="1:8">
      <c r="A611" s="9" t="s">
        <v>2249</v>
      </c>
      <c r="B611" s="9" t="s">
        <v>2245</v>
      </c>
    </row>
    <row r="612" spans="1:8">
      <c r="A612" s="9" t="s">
        <v>2094</v>
      </c>
      <c r="B612" s="9" t="s">
        <v>962</v>
      </c>
    </row>
    <row r="613" spans="1:8">
      <c r="A613" s="9" t="s">
        <v>2095</v>
      </c>
      <c r="B613" s="9" t="s">
        <v>962</v>
      </c>
    </row>
    <row r="614" spans="1:8">
      <c r="A614" s="9" t="s">
        <v>2096</v>
      </c>
      <c r="B614" s="9" t="s">
        <v>962</v>
      </c>
    </row>
    <row r="615" spans="1:8">
      <c r="A615" s="9" t="s">
        <v>2097</v>
      </c>
      <c r="B615" s="9" t="s">
        <v>962</v>
      </c>
    </row>
    <row r="616" spans="1:8">
      <c r="A616" s="9" t="s">
        <v>2098</v>
      </c>
      <c r="B616" s="9" t="s">
        <v>962</v>
      </c>
      <c r="G616" s="10"/>
    </row>
    <row r="617" spans="1:8">
      <c r="A617" s="9" t="s">
        <v>2100</v>
      </c>
      <c r="B617" s="9" t="s">
        <v>2099</v>
      </c>
      <c r="G617" s="10"/>
    </row>
    <row r="618" spans="1:8">
      <c r="A618" s="9" t="s">
        <v>2101</v>
      </c>
      <c r="B618" s="9" t="s">
        <v>2245</v>
      </c>
      <c r="H618" s="2"/>
    </row>
    <row r="619" spans="1:8">
      <c r="A619" s="9" t="s">
        <v>2102</v>
      </c>
      <c r="B619" s="9" t="s">
        <v>2245</v>
      </c>
      <c r="H619" s="2"/>
    </row>
    <row r="620" spans="1:8">
      <c r="A620" s="9" t="s">
        <v>2104</v>
      </c>
      <c r="B620" s="9" t="s">
        <v>2103</v>
      </c>
      <c r="H620" s="2"/>
    </row>
    <row r="621" spans="1:8">
      <c r="A621" s="9" t="s">
        <v>2105</v>
      </c>
      <c r="B621" s="9" t="s">
        <v>962</v>
      </c>
      <c r="H621" s="2"/>
    </row>
    <row r="622" spans="1:8">
      <c r="A622" s="9" t="s">
        <v>2106</v>
      </c>
      <c r="B622" s="9" t="s">
        <v>2245</v>
      </c>
      <c r="H622" s="2"/>
    </row>
    <row r="623" spans="1:8">
      <c r="A623" s="9" t="s">
        <v>2107</v>
      </c>
      <c r="B623" s="9" t="s">
        <v>962</v>
      </c>
    </row>
    <row r="624" spans="1:8">
      <c r="A624" s="9" t="s">
        <v>2108</v>
      </c>
      <c r="B624" s="9" t="s">
        <v>2245</v>
      </c>
      <c r="H624" s="2"/>
    </row>
    <row r="625" spans="1:8">
      <c r="A625" s="9" t="s">
        <v>2109</v>
      </c>
      <c r="B625" s="9" t="s">
        <v>962</v>
      </c>
      <c r="H625" s="2"/>
    </row>
    <row r="626" spans="1:8">
      <c r="A626" s="9" t="s">
        <v>2110</v>
      </c>
      <c r="B626" s="9" t="s">
        <v>962</v>
      </c>
    </row>
    <row r="627" spans="1:8">
      <c r="A627" s="9" t="s">
        <v>2112</v>
      </c>
      <c r="B627" s="9" t="s">
        <v>2111</v>
      </c>
      <c r="H627" s="2"/>
    </row>
    <row r="628" spans="1:8">
      <c r="A628" s="9" t="s">
        <v>2113</v>
      </c>
      <c r="B628" s="9" t="s">
        <v>2245</v>
      </c>
      <c r="G628" s="8"/>
      <c r="H628" s="2"/>
    </row>
    <row r="629" spans="1:8">
      <c r="A629" s="9" t="s">
        <v>2114</v>
      </c>
      <c r="B629" s="9" t="s">
        <v>2111</v>
      </c>
      <c r="H629" s="2"/>
    </row>
    <row r="630" spans="1:8">
      <c r="A630" s="9" t="s">
        <v>2115</v>
      </c>
      <c r="B630" s="9" t="s">
        <v>2245</v>
      </c>
      <c r="H630" s="2"/>
    </row>
    <row r="631" spans="1:8">
      <c r="A631" s="9" t="s">
        <v>2116</v>
      </c>
      <c r="B631" s="9" t="s">
        <v>2245</v>
      </c>
      <c r="H631" s="2"/>
    </row>
    <row r="632" spans="1:8">
      <c r="A632" s="9" t="s">
        <v>2117</v>
      </c>
      <c r="B632" s="9" t="s">
        <v>2111</v>
      </c>
    </row>
    <row r="633" spans="1:8">
      <c r="A633" s="9" t="s">
        <v>2118</v>
      </c>
      <c r="B633" s="9" t="s">
        <v>2245</v>
      </c>
      <c r="H633" s="2"/>
    </row>
    <row r="634" spans="1:8">
      <c r="A634" s="9" t="s">
        <v>2119</v>
      </c>
      <c r="B634" s="9" t="s">
        <v>2111</v>
      </c>
      <c r="H634" s="2"/>
    </row>
    <row r="635" spans="1:8">
      <c r="A635" s="9" t="s">
        <v>2120</v>
      </c>
      <c r="B635" s="9" t="s">
        <v>2245</v>
      </c>
      <c r="H635" s="2"/>
    </row>
    <row r="636" spans="1:8">
      <c r="A636" s="9" t="s">
        <v>2121</v>
      </c>
      <c r="B636" s="9" t="s">
        <v>2245</v>
      </c>
      <c r="H636" s="2"/>
    </row>
    <row r="637" spans="1:8">
      <c r="A637" s="9" t="s">
        <v>2122</v>
      </c>
      <c r="B637" s="9" t="s">
        <v>2245</v>
      </c>
      <c r="H637" s="2"/>
    </row>
    <row r="638" spans="1:8">
      <c r="A638" s="9" t="s">
        <v>2123</v>
      </c>
      <c r="B638" s="9" t="s">
        <v>2245</v>
      </c>
      <c r="H638" s="2"/>
    </row>
    <row r="639" spans="1:8">
      <c r="A639" s="9" t="s">
        <v>2125</v>
      </c>
      <c r="B639" s="9" t="s">
        <v>2124</v>
      </c>
      <c r="H639" s="2"/>
    </row>
    <row r="640" spans="1:8">
      <c r="A640" s="9" t="s">
        <v>2126</v>
      </c>
      <c r="B640" s="9" t="s">
        <v>2245</v>
      </c>
      <c r="H640" s="2"/>
    </row>
    <row r="641" spans="1:8">
      <c r="A641" s="9" t="s">
        <v>2127</v>
      </c>
      <c r="B641" s="9" t="s">
        <v>2124</v>
      </c>
      <c r="H641" s="2"/>
    </row>
    <row r="642" spans="1:8">
      <c r="A642" s="9" t="s">
        <v>2128</v>
      </c>
      <c r="B642" s="9" t="s">
        <v>2245</v>
      </c>
      <c r="H642" s="2"/>
    </row>
    <row r="643" spans="1:8">
      <c r="A643" s="9" t="s">
        <v>2129</v>
      </c>
      <c r="B643" s="9" t="s">
        <v>2245</v>
      </c>
      <c r="H643" s="2"/>
    </row>
    <row r="644" spans="1:8">
      <c r="A644" s="9" t="s">
        <v>2130</v>
      </c>
      <c r="B644" s="9" t="s">
        <v>2245</v>
      </c>
      <c r="H644" s="2"/>
    </row>
    <row r="645" spans="1:8">
      <c r="A645" s="9" t="s">
        <v>2131</v>
      </c>
      <c r="B645" s="9" t="s">
        <v>2124</v>
      </c>
      <c r="H645" s="2"/>
    </row>
    <row r="646" spans="1:8">
      <c r="A646" s="9" t="s">
        <v>2132</v>
      </c>
      <c r="B646" s="9" t="s">
        <v>2245</v>
      </c>
      <c r="H646" s="2"/>
    </row>
    <row r="647" spans="1:8">
      <c r="A647" s="9" t="s">
        <v>2133</v>
      </c>
      <c r="B647" s="9" t="s">
        <v>2245</v>
      </c>
      <c r="H647" s="2"/>
    </row>
    <row r="648" spans="1:8">
      <c r="A648" s="9" t="s">
        <v>2134</v>
      </c>
      <c r="B648" s="2"/>
    </row>
    <row r="649" spans="1:8">
      <c r="A649" s="9" t="s">
        <v>2135</v>
      </c>
      <c r="B649" s="2"/>
      <c r="H649" s="2"/>
    </row>
    <row r="650" spans="1:8">
      <c r="B650" s="2"/>
      <c r="H650" s="2"/>
    </row>
    <row r="651" spans="1:8">
      <c r="H651" s="2"/>
    </row>
    <row r="652" spans="1:8">
      <c r="H652" s="2"/>
    </row>
    <row r="653" spans="1:8">
      <c r="G653" s="11"/>
      <c r="H653" s="2"/>
    </row>
    <row r="654" spans="1:8">
      <c r="G654" s="11"/>
      <c r="H654" s="2"/>
    </row>
    <row r="655" spans="1:8">
      <c r="G655" s="11"/>
      <c r="H655" s="2"/>
    </row>
    <row r="656" spans="1:8">
      <c r="H656" s="2"/>
    </row>
    <row r="657" spans="7:8">
      <c r="H657" s="2"/>
    </row>
    <row r="658" spans="7:8">
      <c r="H658" s="2"/>
    </row>
    <row r="659" spans="7:8">
      <c r="H659" s="2"/>
    </row>
    <row r="660" spans="7:8">
      <c r="H660" s="2"/>
    </row>
    <row r="661" spans="7:8">
      <c r="H661" s="2"/>
    </row>
    <row r="662" spans="7:8">
      <c r="H662" s="2"/>
    </row>
    <row r="664" spans="7:8">
      <c r="H664" s="2"/>
    </row>
    <row r="665" spans="7:8">
      <c r="H665" s="2"/>
    </row>
    <row r="666" spans="7:8">
      <c r="H666" s="2"/>
    </row>
    <row r="668" spans="7:8">
      <c r="H668" s="2"/>
    </row>
    <row r="669" spans="7:8">
      <c r="G669" s="12"/>
      <c r="H669" s="2"/>
    </row>
    <row r="670" spans="7:8">
      <c r="G670" s="287"/>
      <c r="H670" s="2"/>
    </row>
    <row r="671" spans="7:8">
      <c r="G671" s="287"/>
      <c r="H671" s="2"/>
    </row>
    <row r="672" spans="7:8">
      <c r="G672" s="287"/>
      <c r="H672" s="2"/>
    </row>
    <row r="673" spans="7:8">
      <c r="G673" s="287"/>
      <c r="H673" s="2"/>
    </row>
    <row r="674" spans="7:8">
      <c r="G674" s="287"/>
      <c r="H674" s="2"/>
    </row>
    <row r="675" spans="7:8">
      <c r="H675" s="2"/>
    </row>
    <row r="676" spans="7:8">
      <c r="H676" s="2"/>
    </row>
    <row r="677" spans="7:8">
      <c r="H677" s="2"/>
    </row>
    <row r="678" spans="7:8">
      <c r="G678" s="12"/>
      <c r="H678" s="2"/>
    </row>
    <row r="679" spans="7:8">
      <c r="G679" s="12"/>
      <c r="H679" s="2"/>
    </row>
    <row r="680" spans="7:8">
      <c r="H680" s="2"/>
    </row>
    <row r="683" spans="7:8">
      <c r="G683" s="12"/>
    </row>
    <row r="692" spans="1:8">
      <c r="G692" s="9"/>
    </row>
    <row r="693" spans="1:8">
      <c r="G693" s="9"/>
    </row>
    <row r="694" spans="1:8">
      <c r="G694" s="9"/>
    </row>
    <row r="695" spans="1:8">
      <c r="B695" s="8"/>
      <c r="G695" s="9"/>
    </row>
    <row r="696" spans="1:8">
      <c r="A696" s="2"/>
      <c r="H696" s="2"/>
    </row>
    <row r="697" spans="1:8">
      <c r="A697" s="2"/>
      <c r="B697" s="13"/>
      <c r="H697" s="2"/>
    </row>
    <row r="698" spans="1:8">
      <c r="H698" s="2"/>
    </row>
    <row r="699" spans="1:8">
      <c r="B699" s="8"/>
      <c r="H699" s="2"/>
    </row>
    <row r="700" spans="1:8">
      <c r="H700" s="2"/>
    </row>
    <row r="701" spans="1:8">
      <c r="B701" s="8"/>
    </row>
    <row r="702" spans="1:8">
      <c r="H702" s="2"/>
    </row>
    <row r="703" spans="1:8">
      <c r="H703" s="2"/>
    </row>
    <row r="704" spans="1:8">
      <c r="H704" s="2"/>
    </row>
    <row r="705" spans="7:8">
      <c r="H705" s="2"/>
    </row>
    <row r="706" spans="7:8">
      <c r="H706" s="2"/>
    </row>
    <row r="707" spans="7:8">
      <c r="H707" s="2"/>
    </row>
    <row r="708" spans="7:8">
      <c r="H708" s="2"/>
    </row>
    <row r="709" spans="7:8">
      <c r="H709" s="2"/>
    </row>
    <row r="711" spans="7:8">
      <c r="H711" s="2"/>
    </row>
    <row r="712" spans="7:8">
      <c r="H712" s="2"/>
    </row>
    <row r="713" spans="7:8">
      <c r="H713" s="2"/>
    </row>
    <row r="714" spans="7:8">
      <c r="G714" s="9"/>
      <c r="H714" s="2"/>
    </row>
    <row r="715" spans="7:8">
      <c r="H715" s="2"/>
    </row>
    <row r="716" spans="7:8">
      <c r="H716" s="2"/>
    </row>
    <row r="718" spans="7:8">
      <c r="H718" s="2"/>
    </row>
    <row r="719" spans="7:8">
      <c r="H719" s="2"/>
    </row>
    <row r="720" spans="7:8">
      <c r="H720" s="2"/>
    </row>
    <row r="722" spans="6:8">
      <c r="H722" s="2"/>
    </row>
    <row r="723" spans="6:8">
      <c r="F723" s="9"/>
      <c r="G723" s="9"/>
      <c r="H723" s="2"/>
    </row>
    <row r="724" spans="6:8">
      <c r="F724" s="9"/>
      <c r="H724" s="2"/>
    </row>
    <row r="725" spans="6:8">
      <c r="F725" s="9"/>
      <c r="G725" s="9"/>
      <c r="H725" s="2"/>
    </row>
    <row r="726" spans="6:8">
      <c r="H726" s="2"/>
    </row>
    <row r="727" spans="6:8">
      <c r="H727" s="2"/>
    </row>
    <row r="728" spans="6:8">
      <c r="H728" s="2"/>
    </row>
    <row r="730" spans="6:8">
      <c r="H730" s="2"/>
    </row>
    <row r="731" spans="6:8">
      <c r="H731" s="2"/>
    </row>
    <row r="732" spans="6:8">
      <c r="H732" s="2"/>
    </row>
    <row r="733" spans="6:8">
      <c r="H733" s="2"/>
    </row>
    <row r="734" spans="6:8">
      <c r="H734" s="2"/>
    </row>
    <row r="735" spans="6:8">
      <c r="H735" s="2"/>
    </row>
    <row r="736" spans="6:8">
      <c r="H736" s="2"/>
    </row>
    <row r="737" spans="5:8">
      <c r="H737" s="2"/>
    </row>
    <row r="739" spans="5:8">
      <c r="H739" s="2"/>
    </row>
    <row r="740" spans="5:8">
      <c r="H740" s="2"/>
    </row>
    <row r="741" spans="5:8">
      <c r="H741" s="2"/>
    </row>
    <row r="742" spans="5:8">
      <c r="H742" s="2"/>
    </row>
    <row r="744" spans="5:8">
      <c r="F744" s="8"/>
      <c r="H744" s="2"/>
    </row>
    <row r="745" spans="5:8">
      <c r="E745" s="285"/>
      <c r="F745" s="8"/>
      <c r="H745" s="2"/>
    </row>
    <row r="746" spans="5:8">
      <c r="F746" s="8"/>
      <c r="H746" s="2"/>
    </row>
    <row r="747" spans="5:8">
      <c r="F747" s="8"/>
      <c r="H747" s="2"/>
    </row>
    <row r="748" spans="5:8">
      <c r="E748" s="285"/>
      <c r="F748" s="8"/>
      <c r="H748" s="2"/>
    </row>
    <row r="749" spans="5:8">
      <c r="F749" s="8"/>
      <c r="H749" s="2"/>
    </row>
    <row r="750" spans="5:8">
      <c r="F750" s="8"/>
      <c r="H750" s="2"/>
    </row>
    <row r="751" spans="5:8">
      <c r="F751" s="8"/>
      <c r="H751" s="2"/>
    </row>
    <row r="752" spans="5:8">
      <c r="F752" s="8"/>
      <c r="H752" s="2"/>
    </row>
    <row r="753" spans="1:8">
      <c r="F753" s="8"/>
      <c r="H753" s="2"/>
    </row>
    <row r="754" spans="1:8">
      <c r="F754" s="8"/>
      <c r="H754" s="2"/>
    </row>
    <row r="755" spans="1:8">
      <c r="F755" s="8"/>
      <c r="H755" s="2"/>
    </row>
    <row r="756" spans="1:8">
      <c r="A756" s="2"/>
      <c r="B756" s="2"/>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F766" s="8"/>
      <c r="H766" s="2"/>
    </row>
    <row r="767" spans="1:8">
      <c r="A767" s="2"/>
      <c r="B767" s="2"/>
      <c r="F767" s="8"/>
      <c r="H767" s="2"/>
    </row>
    <row r="768" spans="1:8">
      <c r="A768" s="2"/>
      <c r="B768" s="2"/>
      <c r="E768" s="8"/>
      <c r="F768" s="8"/>
      <c r="H768" s="2"/>
    </row>
    <row r="769" spans="1:8">
      <c r="A769" s="2"/>
      <c r="B769" s="2"/>
      <c r="E769" s="8"/>
      <c r="F769" s="8"/>
      <c r="H769" s="2"/>
    </row>
    <row r="770" spans="1:8">
      <c r="A770" s="2"/>
      <c r="B770" s="2"/>
      <c r="E770" s="8"/>
      <c r="F770" s="8"/>
      <c r="H770" s="2"/>
    </row>
    <row r="771" spans="1:8">
      <c r="A771" s="2"/>
      <c r="B771" s="2"/>
      <c r="C771" s="8"/>
      <c r="E771" s="8"/>
      <c r="F771" s="8"/>
      <c r="H771" s="2"/>
    </row>
    <row r="772" spans="1:8">
      <c r="A772" s="2"/>
      <c r="B772" s="2"/>
      <c r="C772" s="8"/>
      <c r="E772" s="8"/>
      <c r="F772" s="8"/>
      <c r="H772" s="2"/>
    </row>
    <row r="773" spans="1:8">
      <c r="A773" s="2"/>
      <c r="B773" s="2"/>
      <c r="C773" s="8"/>
      <c r="E773" s="8"/>
      <c r="F773" s="8"/>
      <c r="H773" s="2"/>
    </row>
    <row r="774" spans="1:8">
      <c r="A774" s="2"/>
      <c r="B774" s="2"/>
      <c r="C774" s="8"/>
      <c r="D774" s="8"/>
      <c r="E774" s="8"/>
      <c r="F774" s="8"/>
      <c r="H774" s="2"/>
    </row>
    <row r="775" spans="1:8">
      <c r="A775" s="2"/>
      <c r="B775" s="2"/>
      <c r="C775" s="8"/>
      <c r="E775" s="8"/>
      <c r="F775" s="14"/>
      <c r="H775" s="2"/>
    </row>
    <row r="776" spans="1:8">
      <c r="A776" s="2"/>
      <c r="B776" s="2"/>
      <c r="C776" s="8"/>
      <c r="E776" s="8"/>
      <c r="F776" s="14"/>
      <c r="H776" s="2"/>
    </row>
    <row r="777" spans="1:8">
      <c r="A777" s="2"/>
      <c r="B777" s="2"/>
      <c r="C777" s="8"/>
      <c r="F777" s="14"/>
      <c r="H777" s="2"/>
    </row>
    <row r="778" spans="1:8">
      <c r="B778" s="2"/>
      <c r="C778" s="8"/>
      <c r="F778" s="8"/>
      <c r="H778" s="2"/>
    </row>
    <row r="779" spans="1:8">
      <c r="C779" s="8"/>
      <c r="F779" s="8"/>
      <c r="H779" s="2"/>
    </row>
    <row r="780" spans="1:8">
      <c r="F780" s="8"/>
      <c r="H780" s="2"/>
    </row>
    <row r="781" spans="1:8">
      <c r="F781" s="8"/>
      <c r="H781" s="2"/>
    </row>
    <row r="782" spans="1:8">
      <c r="F782" s="8"/>
      <c r="H782" s="2"/>
    </row>
    <row r="783" spans="1:8">
      <c r="F783" s="8"/>
      <c r="H783" s="2"/>
    </row>
    <row r="784" spans="1:8">
      <c r="F784" s="8"/>
      <c r="H784" s="2"/>
    </row>
    <row r="785" spans="4:8">
      <c r="F785" s="8"/>
      <c r="H785" s="2"/>
    </row>
    <row r="786" spans="4:8">
      <c r="D786" s="8"/>
      <c r="F786" s="8"/>
      <c r="H786" s="2"/>
    </row>
    <row r="787" spans="4:8">
      <c r="D787" s="8"/>
      <c r="F787" s="8"/>
      <c r="H787" s="2"/>
    </row>
    <row r="788" spans="4:8">
      <c r="D788" s="8"/>
      <c r="F788" s="8"/>
      <c r="H788" s="2"/>
    </row>
    <row r="789" spans="4:8">
      <c r="D789" s="8"/>
      <c r="F789" s="8"/>
      <c r="H789"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5" t="s">
        <v>271</v>
      </c>
      <c r="E1" s="1422" t="s">
        <v>2137</v>
      </c>
      <c r="F1" s="1423"/>
      <c r="G1" s="1423"/>
      <c r="H1" s="1423"/>
      <c r="I1" s="1423"/>
      <c r="J1" s="1423"/>
      <c r="K1" s="1424"/>
      <c r="L1" s="1415">
        <f>E143/20/100</f>
        <v>0.39383314060168295</v>
      </c>
      <c r="M1" s="1415"/>
      <c r="N1" s="105" t="s">
        <v>1214</v>
      </c>
      <c r="O1" s="18"/>
      <c r="P1" s="490"/>
      <c r="Q1" s="490"/>
      <c r="R1" s="490"/>
      <c r="S1" s="491"/>
      <c r="T1" s="1115"/>
      <c r="U1" s="1116" t="s">
        <v>3042</v>
      </c>
      <c r="V1" s="1117"/>
      <c r="W1" s="1117"/>
      <c r="X1" s="1118"/>
      <c r="Y1" s="1119"/>
      <c r="Z1" s="27"/>
      <c r="AD1" s="1335"/>
      <c r="AE1" s="1335"/>
      <c r="AF1" s="1335"/>
    </row>
    <row r="2" spans="1:32" ht="13.5" thickBot="1">
      <c r="A2" s="1413"/>
      <c r="B2" s="1106" t="s">
        <v>1137</v>
      </c>
      <c r="C2" s="1107">
        <f>SUM('Damage Calc'!J2:J7)</f>
        <v>1002.017991686008</v>
      </c>
      <c r="D2" s="1108">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6" t="s">
        <v>3152</v>
      </c>
      <c r="U2" s="587"/>
      <c r="V2" s="587"/>
      <c r="W2" s="588"/>
      <c r="X2" s="1120"/>
      <c r="Y2" s="1122"/>
      <c r="Z2" s="27"/>
      <c r="AD2" s="1335"/>
      <c r="AE2" s="1335"/>
      <c r="AF2" s="1335"/>
    </row>
    <row r="3" spans="1:32">
      <c r="A3" s="639"/>
      <c r="B3" s="1109" t="str">
        <f>instatklng&amp;" DPS"</f>
        <v>Sinister Strike DPS</v>
      </c>
      <c r="C3" s="1110">
        <f>'Damage Calc'!J8</f>
        <v>327.58159382962725</v>
      </c>
      <c r="D3" s="1111">
        <f>C3/$C$6</f>
        <v>0.21063867903382291</v>
      </c>
      <c r="E3" s="1425" t="s">
        <v>2136</v>
      </c>
      <c r="F3" s="1426"/>
      <c r="G3" s="1427" t="s">
        <v>770</v>
      </c>
      <c r="H3" s="1427"/>
      <c r="I3" s="1426" t="s">
        <v>767</v>
      </c>
      <c r="J3" s="1426"/>
      <c r="K3" s="1131" t="s">
        <v>769</v>
      </c>
      <c r="L3" s="1415">
        <f>(ROUNDDOWN(M143/defrating_def,0)*0.04)/100</f>
        <v>0</v>
      </c>
      <c r="M3" s="1415"/>
      <c r="N3" s="105" t="s">
        <v>1286</v>
      </c>
      <c r="O3" s="483"/>
      <c r="P3" s="18"/>
      <c r="Q3" s="18"/>
      <c r="R3" s="484"/>
      <c r="S3" s="485"/>
      <c r="T3" s="1126"/>
      <c r="U3" s="1121"/>
      <c r="V3" s="1121"/>
      <c r="W3" s="1121"/>
      <c r="X3" s="1121" t="s">
        <v>3072</v>
      </c>
      <c r="Y3" s="1123"/>
      <c r="Z3" s="1310"/>
      <c r="AD3" s="1335"/>
      <c r="AE3" s="1335"/>
      <c r="AF3" s="1335"/>
    </row>
    <row r="4" spans="1:32">
      <c r="A4" s="639"/>
      <c r="B4" s="1112" t="s">
        <v>2141</v>
      </c>
      <c r="C4" s="1113">
        <f>'Damage Calc'!J10+'Damage Calc'!J11+'Damage Calc'!J12</f>
        <v>119.18260098388045</v>
      </c>
      <c r="D4" s="1114">
        <f>C4/$C$6</f>
        <v>7.6635763754530198E-2</v>
      </c>
      <c r="E4" s="1428">
        <f>3524+INT(F143)*10</f>
        <v>9674</v>
      </c>
      <c r="F4" s="1429"/>
      <c r="G4" s="1446">
        <f>(1+'Gear &amp; Buffs'!$P$143/(hasterate*100))</f>
        <v>1.0808524183153847</v>
      </c>
      <c r="H4" s="1446"/>
      <c r="I4" s="1421">
        <f>ap</f>
        <v>3165.5289383329646</v>
      </c>
      <c r="J4" s="1421"/>
      <c r="K4" s="1132">
        <f>'Damage Calc'!$Q$42</f>
        <v>4010</v>
      </c>
      <c r="L4" s="1414">
        <f>-0.59/100</f>
        <v>-5.8999999999999999E-3</v>
      </c>
      <c r="M4" s="1414"/>
      <c r="N4" s="105" t="s">
        <v>393</v>
      </c>
      <c r="O4" s="483"/>
      <c r="P4" s="45"/>
      <c r="Q4" s="158"/>
      <c r="R4" s="45"/>
      <c r="S4" s="45"/>
      <c r="T4" s="1126"/>
      <c r="U4" s="1121"/>
      <c r="V4" s="1121"/>
      <c r="W4" s="1121"/>
      <c r="X4" s="1121" t="s">
        <v>1897</v>
      </c>
      <c r="Y4" s="1123" t="b">
        <v>1</v>
      </c>
      <c r="Z4" s="1310"/>
      <c r="AD4" s="1335"/>
      <c r="AE4" s="1335"/>
      <c r="AF4" s="1335"/>
    </row>
    <row r="5" spans="1:32" ht="13.5" thickBot="1">
      <c r="A5" s="639"/>
      <c r="B5" s="1109" t="s">
        <v>2142</v>
      </c>
      <c r="C5" s="1110">
        <f>'Damage Calc'!J13+'Damage Calc'!J14+'Damage Calc'!J15+'Damage Calc'!J9</f>
        <v>106.40034375660329</v>
      </c>
      <c r="D5" s="1111">
        <f>C5/$C$6</f>
        <v>6.84166274289877E-2</v>
      </c>
      <c r="E5" s="1434" t="s">
        <v>2139</v>
      </c>
      <c r="F5" s="1435"/>
      <c r="G5" s="1436" t="s">
        <v>2138</v>
      </c>
      <c r="H5" s="1436"/>
      <c r="I5" s="1435" t="s">
        <v>2140</v>
      </c>
      <c r="J5" s="1435"/>
      <c r="K5" s="1133" t="s">
        <v>2143</v>
      </c>
      <c r="L5" s="1414">
        <f>((CharLevel-BossLevel)*(0.2))/100</f>
        <v>-6.000000000000001E-3</v>
      </c>
      <c r="M5" s="1414"/>
      <c r="N5" s="482" t="s">
        <v>394</v>
      </c>
      <c r="O5" s="483"/>
      <c r="P5" s="18"/>
      <c r="Q5" s="484"/>
      <c r="R5" s="484"/>
      <c r="S5" s="486"/>
      <c r="T5" s="1126"/>
      <c r="U5" s="1121"/>
      <c r="V5" s="1121"/>
      <c r="W5" s="1121"/>
      <c r="X5" s="1121" t="s">
        <v>1914</v>
      </c>
      <c r="Y5" s="1123" t="b">
        <v>1</v>
      </c>
      <c r="Z5" s="1310"/>
      <c r="AD5" s="1335"/>
      <c r="AE5" s="1335"/>
      <c r="AF5" s="1335"/>
    </row>
    <row r="6" spans="1:32" ht="13.5" thickBot="1">
      <c r="A6" s="639"/>
      <c r="B6" s="1128" t="s">
        <v>2144</v>
      </c>
      <c r="C6" s="1129">
        <f>'Damage Calc'!J16</f>
        <v>1555.182530256119</v>
      </c>
      <c r="D6" s="1130">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4">
        <f>'Damage Calc'!B20</f>
        <v>2.0000000000000004E-2</v>
      </c>
      <c r="L6" s="1445">
        <f>MAX((-0.59+E143/20+(K143/dorate)+(ROUNDDOWN(M143/defrating_def,0)*0.04))/100+0.2%*(CharLevel-BossLevel),0%)</f>
        <v>0.38193314060168293</v>
      </c>
      <c r="M6" s="1414"/>
      <c r="N6" s="105" t="s">
        <v>2143</v>
      </c>
      <c r="O6" s="487"/>
      <c r="P6" s="158"/>
      <c r="Q6" s="158"/>
      <c r="R6" s="158"/>
      <c r="S6" s="45"/>
      <c r="T6" s="1126"/>
      <c r="U6" s="1121"/>
      <c r="V6" s="1121"/>
      <c r="W6" s="1121"/>
      <c r="X6" s="1121" t="s">
        <v>74</v>
      </c>
      <c r="Y6" s="1123" t="b">
        <v>1</v>
      </c>
      <c r="Z6" s="1310"/>
      <c r="AD6" s="1335"/>
      <c r="AE6" s="1335"/>
      <c r="AF6" s="1335"/>
    </row>
    <row r="7" spans="1:32" ht="13.5" thickBot="1">
      <c r="A7" s="640"/>
      <c r="B7" s="284">
        <v>2</v>
      </c>
      <c r="C7" s="107">
        <v>1555.182530256119</v>
      </c>
      <c r="D7" s="492">
        <f>C7*0.71</f>
        <v>1104.1795964818443</v>
      </c>
      <c r="E7" s="44" t="s">
        <v>1176</v>
      </c>
      <c r="L7" s="1450">
        <f>Talents!H8</f>
        <v>0.4699331406016829</v>
      </c>
      <c r="M7" s="1451"/>
      <c r="N7" s="105" t="s">
        <v>1175</v>
      </c>
      <c r="O7" s="62"/>
      <c r="P7" s="488"/>
      <c r="Q7" s="488"/>
      <c r="R7" s="488"/>
      <c r="S7" s="488"/>
      <c r="T7" s="1127"/>
      <c r="U7" s="1124"/>
      <c r="V7" s="1124"/>
      <c r="W7" s="1124"/>
      <c r="X7" s="1124" t="s">
        <v>75</v>
      </c>
      <c r="Y7" s="1125" t="b">
        <v>1</v>
      </c>
      <c r="Z7" s="1310"/>
      <c r="AD7" s="1335"/>
      <c r="AE7" s="1335"/>
      <c r="AF7" s="1335"/>
    </row>
    <row r="8" spans="1:32" ht="22.5" customHeight="1" thickBot="1">
      <c r="A8" s="641"/>
      <c r="B8" s="34" t="s">
        <v>3080</v>
      </c>
      <c r="C8" s="1309">
        <f>C6-C7</f>
        <v>0</v>
      </c>
      <c r="D8" s="1402">
        <f>C8/$C$6</f>
        <v>0</v>
      </c>
      <c r="M8" s="35"/>
      <c r="N8" s="631"/>
      <c r="O8" s="632"/>
      <c r="R8" s="205" t="s">
        <v>274</v>
      </c>
      <c r="Y8" s="281" t="b">
        <v>1</v>
      </c>
      <c r="AD8" s="1335"/>
      <c r="AE8" s="1335"/>
      <c r="AF8" s="1335"/>
    </row>
    <row r="9" spans="1:32" ht="13.5" thickBot="1">
      <c r="A9" s="642"/>
      <c r="B9" s="638" t="s">
        <v>1212</v>
      </c>
      <c r="C9" s="635" t="s">
        <v>665</v>
      </c>
      <c r="D9" s="633" t="s">
        <v>1213</v>
      </c>
      <c r="E9" s="633" t="s">
        <v>1214</v>
      </c>
      <c r="F9" s="633" t="s">
        <v>1215</v>
      </c>
      <c r="G9" s="634" t="s">
        <v>2139</v>
      </c>
      <c r="H9" s="634" t="s">
        <v>2138</v>
      </c>
      <c r="I9" s="633" t="s">
        <v>767</v>
      </c>
      <c r="J9" s="633" t="s">
        <v>1216</v>
      </c>
      <c r="K9" s="633" t="s">
        <v>2143</v>
      </c>
      <c r="L9" s="635" t="s">
        <v>1581</v>
      </c>
      <c r="M9" s="635" t="s">
        <v>2165</v>
      </c>
      <c r="N9" s="635"/>
      <c r="O9" s="635"/>
      <c r="P9" s="635" t="s">
        <v>770</v>
      </c>
      <c r="Q9" s="636" t="s">
        <v>769</v>
      </c>
      <c r="R9" s="635" t="s">
        <v>1219</v>
      </c>
      <c r="S9" s="635" t="s">
        <v>1220</v>
      </c>
      <c r="T9" s="635" t="s">
        <v>1221</v>
      </c>
      <c r="U9" s="635" t="s">
        <v>1222</v>
      </c>
      <c r="V9" s="635" t="s">
        <v>763</v>
      </c>
      <c r="W9" s="633" t="s">
        <v>1223</v>
      </c>
      <c r="X9" s="633" t="s">
        <v>1224</v>
      </c>
      <c r="Y9" s="637" t="s">
        <v>1225</v>
      </c>
      <c r="AD9" s="1335"/>
      <c r="AE9" s="1335"/>
      <c r="AF9" s="1335"/>
    </row>
    <row r="10" spans="1:32">
      <c r="A10" s="608" t="s">
        <v>3044</v>
      </c>
      <c r="B10" s="607" t="s">
        <v>1380</v>
      </c>
      <c r="C10" s="1150" t="str">
        <f>VLOOKUP($B10,MHWeaponStats,lookSource,FALSE)</f>
        <v>BoE</v>
      </c>
      <c r="D10" s="609">
        <f>VLOOKUP($B10,MHWeaponStats,lookStr,FALSE)</f>
        <v>0</v>
      </c>
      <c r="E10" s="609">
        <f>VLOOKUP($B10,MHWeaponStats,lookAgi,FALSE)</f>
        <v>0</v>
      </c>
      <c r="F10" s="609">
        <f>VLOOKUP($B10,MHWeaponStats,lookSta,FALSE)</f>
        <v>0</v>
      </c>
      <c r="G10" s="610">
        <f>VLOOKUP($B10,MHWeaponStats,lookCrit,FALSE)</f>
        <v>0</v>
      </c>
      <c r="H10" s="610">
        <f>VLOOKUP($B10,MHWeaponStats,lookHit,FALSE)</f>
        <v>0</v>
      </c>
      <c r="I10" s="609">
        <f>VLOOKUP($B10,MHWeaponStats,lookAP,FALSE)</f>
        <v>0</v>
      </c>
      <c r="J10" s="610">
        <f>VLOOKUP($B10,MHWeaponStats,lookRes,FALSE)</f>
        <v>0</v>
      </c>
      <c r="K10" s="610">
        <f>VLOOKUP($B10,MHWeaponStats,lookDod,FALSE)</f>
        <v>0</v>
      </c>
      <c r="L10" s="611">
        <f>VLOOKUP($B10,MHWeaponStats,lookExp,FALSE)</f>
        <v>0</v>
      </c>
      <c r="M10" s="611">
        <f>VLOOKUP($B10,MHWeaponStats,lookDef,FALSE)</f>
        <v>0</v>
      </c>
      <c r="N10" s="1150"/>
      <c r="O10" s="611"/>
      <c r="P10" s="611">
        <f>VLOOKUP($B10,MHWeaponStats,lookHaste,FALSE)</f>
        <v>0</v>
      </c>
      <c r="Q10" s="611">
        <f>VLOOKUP($B10,MHWeaponStats,lookArmor,FALSE)</f>
        <v>0</v>
      </c>
      <c r="R10" s="611" t="str">
        <f>VLOOKUP($B10,MHWeaponStats,lookSoc,FALSE)</f>
        <v>0 0 0</v>
      </c>
      <c r="S10" s="611">
        <f>VLOOKUP($B10,MHWeaponStats,lookSet,FALSE)</f>
        <v>0</v>
      </c>
      <c r="T10" s="610">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0">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0">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09">
        <f>VLOOKUP($B10,MHWeaponStats,lookSpeed,FALSE)</f>
        <v>2.6</v>
      </c>
      <c r="X10" s="609" t="str">
        <f>VLOOKUP($B10,MHWeaponStats,lookType,FALSE)</f>
        <v>Sword</v>
      </c>
      <c r="Y10" s="612">
        <f>Weapons!AT45</f>
        <v>0</v>
      </c>
      <c r="AB10" s="1338"/>
      <c r="AC10" s="1338" t="b">
        <f>Sockfit!$O$3</f>
        <v>0</v>
      </c>
      <c r="AD10" s="1338" t="str">
        <f>Sockfit!$P$3</f>
        <v>0000</v>
      </c>
      <c r="AE10" s="122"/>
      <c r="AF10" s="1335"/>
    </row>
    <row r="11" spans="1:32">
      <c r="A11" s="189" t="s">
        <v>1227</v>
      </c>
      <c r="B11" s="605" t="s">
        <v>1228</v>
      </c>
      <c r="C11" s="1304"/>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1"/>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38"/>
      <c r="AC11" s="1338" t="b">
        <f>Sockfit!$O$7</f>
        <v>0</v>
      </c>
      <c r="AD11" s="1338" t="str">
        <f>Sockfit!$P$7</f>
        <v>0000</v>
      </c>
      <c r="AE11" s="122"/>
      <c r="AF11" s="1335"/>
    </row>
    <row r="12" spans="1:32">
      <c r="A12" s="189" t="s">
        <v>519</v>
      </c>
      <c r="B12" s="605" t="s">
        <v>520</v>
      </c>
      <c r="C12" s="1304"/>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1"/>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38"/>
      <c r="AC12" s="1338" t="b">
        <f>Sockfit!$O$43</f>
        <v>0</v>
      </c>
      <c r="AD12" s="1338" t="str">
        <f>Sockfit!$P$43</f>
        <v>0000</v>
      </c>
      <c r="AE12" s="122"/>
      <c r="AF12" s="1335"/>
    </row>
    <row r="13" spans="1:32">
      <c r="A13" s="600" t="str">
        <f>IF(AC10,"+"&amp;MID(AD10,4,2)&amp;" "&amp;MID(AD10,1,2),MID($R$10,1,1)&amp;" Red "&amp;MID($R$10,3,1)&amp;" Blue "&amp;MID($R$10,5,1)&amp;" Yellow")</f>
        <v>0 Red 0 Blue 0 Yellow</v>
      </c>
      <c r="B13" s="595" t="s">
        <v>303</v>
      </c>
      <c r="C13" s="1305" t="b">
        <f>MID($R$10,1,1)+MID($R$10,3,1)+MID(R$10,5,1)&gt;=1</f>
        <v>0</v>
      </c>
      <c r="D13" s="596">
        <f>IF($C13,VLOOKUP($B13,GenSocketStats,lookStr,FALSE),0)</f>
        <v>0</v>
      </c>
      <c r="E13" s="596">
        <f>IF($C13,VLOOKUP($B13,GenSocketStats,lookAgi,FALSE),0)</f>
        <v>0</v>
      </c>
      <c r="F13" s="596">
        <f>IF($C13,VLOOKUP($B13,GenSocketStats,lookSta,FALSE),0)</f>
        <v>0</v>
      </c>
      <c r="G13" s="597">
        <f>IF($C13,VLOOKUP($B13,GenSocketStats,lookCrit,FALSE),0)</f>
        <v>0</v>
      </c>
      <c r="H13" s="597">
        <f>IF($C13,VLOOKUP($B13,GenSocketStats,lookHit,FALSE),0)</f>
        <v>0</v>
      </c>
      <c r="I13" s="596">
        <f>IF($C13,VLOOKUP($B13,GenSocketStats,lookAP,FALSE),0)</f>
        <v>0</v>
      </c>
      <c r="J13" s="596">
        <f>IF($C13,VLOOKUP($B13,GenSocketStats,lookRes,FALSE),0)</f>
        <v>0</v>
      </c>
      <c r="K13" s="597">
        <f>IF($C13,VLOOKUP($B13,GenSocketStats,lookDod,FALSE),0)</f>
        <v>0</v>
      </c>
      <c r="L13" s="596">
        <f>IF($C13,VLOOKUP($B13,GenSocketStats,lookExp,FALSE),0)</f>
        <v>0</v>
      </c>
      <c r="M13" s="596"/>
      <c r="N13" s="601"/>
      <c r="O13" s="596"/>
      <c r="P13" s="596">
        <f>IF($C13,VLOOKUP($B13,GenSocketStats,lookHaste,FALSE),0)</f>
        <v>0</v>
      </c>
      <c r="Q13" s="596">
        <f>IF($C13,VLOOKUP($B13,GenSocketStats,lookArmor,FALSE),0)</f>
        <v>0</v>
      </c>
      <c r="R13" s="596">
        <f>IF($C13,VLOOKUP($B13,GenSocketStats,lookSoc,FALSE),0)</f>
        <v>0</v>
      </c>
      <c r="S13" s="598">
        <f>IF($C13,VLOOKUP($B13,GenSocketStats,lookSet,FALSE),0)</f>
        <v>0</v>
      </c>
      <c r="T13" s="598"/>
      <c r="U13" s="596"/>
      <c r="V13" s="597"/>
      <c r="W13" s="596"/>
      <c r="X13" s="596"/>
      <c r="Y13" s="599"/>
      <c r="Z13" s="36"/>
      <c r="AB13" s="1338"/>
      <c r="AC13" s="1338" t="b">
        <f>Sockfit!$O$11</f>
        <v>1</v>
      </c>
      <c r="AD13" s="1338" t="str">
        <f>Sockfit!$P$11</f>
        <v>ag 4</v>
      </c>
      <c r="AE13" s="122"/>
      <c r="AF13" s="1335"/>
    </row>
    <row r="14" spans="1:32">
      <c r="A14" s="189"/>
      <c r="B14" s="595" t="s">
        <v>303</v>
      </c>
      <c r="C14" s="1305" t="b">
        <f>MID($R$10,1,1)+MID($R$10,3,1)+MID(R$10,5,1)&gt;=2</f>
        <v>0</v>
      </c>
      <c r="D14" s="596">
        <f>IF($C14,VLOOKUP($B14,GenSocketStats,lookStr,FALSE),0)</f>
        <v>0</v>
      </c>
      <c r="E14" s="596">
        <f>IF($C14,VLOOKUP($B14,GenSocketStats,lookAgi,FALSE),0)</f>
        <v>0</v>
      </c>
      <c r="F14" s="596">
        <f>IF($C14,VLOOKUP($B14,GenSocketStats,lookSta,FALSE),0)</f>
        <v>0</v>
      </c>
      <c r="G14" s="597">
        <f>IF($C14,VLOOKUP($B14,GenSocketStats,lookCrit,FALSE),0)</f>
        <v>0</v>
      </c>
      <c r="H14" s="597">
        <f>IF($C14,VLOOKUP($B14,GenSocketStats,lookHit,FALSE),0)</f>
        <v>0</v>
      </c>
      <c r="I14" s="596">
        <f>IF($C14,VLOOKUP($B14,GenSocketStats,lookAP,FALSE),0)</f>
        <v>0</v>
      </c>
      <c r="J14" s="596">
        <f>IF($C14,VLOOKUP($B14,GenSocketStats,lookRes,FALSE),0)</f>
        <v>0</v>
      </c>
      <c r="K14" s="597">
        <f>IF($C14,VLOOKUP($B14,GenSocketStats,lookDod,FALSE),0)</f>
        <v>0</v>
      </c>
      <c r="L14" s="596">
        <f>IF($C14,VLOOKUP($B14,GenSocketStats,lookExp,FALSE),0)</f>
        <v>0</v>
      </c>
      <c r="M14" s="596"/>
      <c r="N14" s="601"/>
      <c r="O14" s="596"/>
      <c r="P14" s="596">
        <f>IF($C14,VLOOKUP($B14,GenSocketStats,lookHaste,FALSE),0)</f>
        <v>0</v>
      </c>
      <c r="Q14" s="596">
        <f>IF($C14,VLOOKUP($B14,GenSocketStats,lookArmor,FALSE),0)</f>
        <v>0</v>
      </c>
      <c r="R14" s="596">
        <f>IF($C14,VLOOKUP($B14,GenSocketStats,lookSoc,FALSE),0)</f>
        <v>0</v>
      </c>
      <c r="S14" s="598">
        <f>IF($C14,VLOOKUP($B14,GenSocketStats,lookSet,FALSE),0)</f>
        <v>0</v>
      </c>
      <c r="T14" s="598"/>
      <c r="U14" s="596"/>
      <c r="V14" s="597"/>
      <c r="W14" s="596"/>
      <c r="X14" s="596"/>
      <c r="Y14" s="599"/>
      <c r="Z14" s="36"/>
      <c r="AA14" s="37"/>
      <c r="AB14" s="1338"/>
      <c r="AC14" s="1338" t="b">
        <f>Sockfit!$O$16</f>
        <v>0</v>
      </c>
      <c r="AD14" s="1338" t="str">
        <f>Sockfit!$P$16</f>
        <v>0000</v>
      </c>
      <c r="AE14" s="122"/>
      <c r="AF14" s="1336"/>
    </row>
    <row r="15" spans="1:32">
      <c r="A15" s="189"/>
      <c r="B15" s="595" t="s">
        <v>303</v>
      </c>
      <c r="C15" s="1305" t="b">
        <f>MID($R$10,1,1)+MID($R$10,3,1)+MID(R$10,5,1)&gt;=3</f>
        <v>0</v>
      </c>
      <c r="D15" s="596">
        <f>IF($C15,VLOOKUP($B15,GenSocketStats,lookStr,FALSE),0)</f>
        <v>0</v>
      </c>
      <c r="E15" s="596">
        <f>IF($C15,VLOOKUP($B15,GenSocketStats,lookAgi,FALSE),0)</f>
        <v>0</v>
      </c>
      <c r="F15" s="596">
        <f>IF($C15,VLOOKUP($B15,GenSocketStats,lookSta,FALSE),0)</f>
        <v>0</v>
      </c>
      <c r="G15" s="597">
        <f>IF($C15,VLOOKUP($B15,GenSocketStats,lookCrit,FALSE),0)</f>
        <v>0</v>
      </c>
      <c r="H15" s="597">
        <f>IF($C15,VLOOKUP($B15,GenSocketStats,lookHit,FALSE),0)</f>
        <v>0</v>
      </c>
      <c r="I15" s="596">
        <f>IF($C15,VLOOKUP($B15,GenSocketStats,lookAP,FALSE),0)</f>
        <v>0</v>
      </c>
      <c r="J15" s="596">
        <f>IF($C15,VLOOKUP($B15,GenSocketStats,lookRes,FALSE),0)</f>
        <v>0</v>
      </c>
      <c r="K15" s="597">
        <f>IF($C15,VLOOKUP($B15,GenSocketStats,lookDod,FALSE),0)</f>
        <v>0</v>
      </c>
      <c r="L15" s="596">
        <f>IF($C15,VLOOKUP($B15,GenSocketStats,lookExp,FALSE),0)</f>
        <v>0</v>
      </c>
      <c r="M15" s="596"/>
      <c r="N15" s="601"/>
      <c r="O15" s="596"/>
      <c r="P15" s="596">
        <f>IF($C15,VLOOKUP($B15,GenSocketStats,lookHaste,FALSE),0)</f>
        <v>0</v>
      </c>
      <c r="Q15" s="596">
        <f>IF($C15,VLOOKUP($B15,GenSocketStats,lookArmor,FALSE),0)</f>
        <v>0</v>
      </c>
      <c r="R15" s="596">
        <f>IF($C15,VLOOKUP($B15,GenSocketStats,lookSoc,FALSE),0)</f>
        <v>0</v>
      </c>
      <c r="S15" s="598">
        <f>IF($C15,VLOOKUP($B15,GenSocketStats,lookSet,FALSE),0)</f>
        <v>0</v>
      </c>
      <c r="T15" s="598"/>
      <c r="U15" s="596"/>
      <c r="V15" s="597"/>
      <c r="W15" s="596"/>
      <c r="X15" s="596"/>
      <c r="Y15" s="599"/>
      <c r="Z15" s="36"/>
      <c r="AA15" s="37"/>
      <c r="AB15" s="1338"/>
      <c r="AC15" s="1338" t="b">
        <f>Sockfit!$O$20</f>
        <v>0</v>
      </c>
      <c r="AD15" s="1338" t="str">
        <f>Sockfit!$P$20</f>
        <v>0000</v>
      </c>
      <c r="AE15" s="122"/>
      <c r="AF15" s="1336"/>
    </row>
    <row r="16" spans="1:32">
      <c r="A16" s="608" t="s">
        <v>3045</v>
      </c>
      <c r="B16" s="607" t="s">
        <v>1391</v>
      </c>
      <c r="C16" s="1150" t="str">
        <f>VLOOKUP($B16,OHWeaponStats,lookSource,FALSE)</f>
        <v>5 Man</v>
      </c>
      <c r="D16" s="609">
        <f>VLOOKUP($B16,OHWeaponStats,lookStr,FALSE)</f>
        <v>0</v>
      </c>
      <c r="E16" s="609">
        <f>VLOOKUP($B16,OHWeaponStats,lookAgi,FALSE)</f>
        <v>15</v>
      </c>
      <c r="F16" s="609">
        <f>VLOOKUP($B16,OHWeaponStats,lookSta,FALSE)</f>
        <v>0</v>
      </c>
      <c r="G16" s="610">
        <f>VLOOKUP($B16,OHWeaponStats,lookCrit,FALSE)</f>
        <v>0</v>
      </c>
      <c r="H16" s="610">
        <f>VLOOKUP($B16,OHWeaponStats,lookHit,FALSE)</f>
        <v>0</v>
      </c>
      <c r="I16" s="609">
        <f>VLOOKUP($B16,OHWeaponStats,lookAP,FALSE)</f>
        <v>26</v>
      </c>
      <c r="J16" s="610">
        <f>VLOOKUP($B16,OHWeaponStats,lookRes,FALSE)</f>
        <v>0</v>
      </c>
      <c r="K16" s="610">
        <f>VLOOKUP($B16,OHWeaponStats,lookDod,FALSE)</f>
        <v>0</v>
      </c>
      <c r="L16" s="611">
        <f>VLOOKUP($B16,OHWeaponStats,lookExp,FALSE)</f>
        <v>14</v>
      </c>
      <c r="M16" s="611">
        <f>VLOOKUP($B16,OHWeaponStats,lookDef,FALSE)</f>
        <v>0</v>
      </c>
      <c r="N16" s="1150"/>
      <c r="O16" s="611"/>
      <c r="P16" s="611">
        <f>VLOOKUP($B16,OHWeaponStats,lookHaste,FALSE)</f>
        <v>0</v>
      </c>
      <c r="Q16" s="611">
        <f>VLOOKUP($B16,OHWeaponStats,lookArmor,FALSE)</f>
        <v>0</v>
      </c>
      <c r="R16" s="611" t="str">
        <f>VLOOKUP($B16,OHWeaponStats,lookSoc,FALSE)</f>
        <v>0 0 0</v>
      </c>
      <c r="S16" s="611" t="str">
        <f>VLOOKUP($B16,OHWeaponStats,lookSet,FALSE)</f>
        <v>Latro's</v>
      </c>
      <c r="T16" s="610">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0">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0">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09">
        <f>VLOOKUP($B16,OHWeaponStats,lookSpeed,FALSE)</f>
        <v>1.4</v>
      </c>
      <c r="X16" s="609" t="str">
        <f>VLOOKUP($B16,OHWeaponStats,lookType,FALSE)</f>
        <v>Sword</v>
      </c>
      <c r="Y16" s="612">
        <f>Weapons!AV45</f>
        <v>0</v>
      </c>
      <c r="Z16" s="36"/>
      <c r="AA16" s="31"/>
      <c r="AB16" s="1338"/>
      <c r="AC16" s="1338" t="b">
        <f>Sockfit!$O$22</f>
        <v>1</v>
      </c>
      <c r="AD16" s="1338" t="str">
        <f>Sockfit!$P$22</f>
        <v>ag 4</v>
      </c>
      <c r="AE16" s="122"/>
      <c r="AF16" s="1336"/>
    </row>
    <row r="17" spans="1:32">
      <c r="A17" s="189" t="s">
        <v>522</v>
      </c>
      <c r="B17" s="605" t="s">
        <v>1228</v>
      </c>
      <c r="C17" s="1304"/>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1"/>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38"/>
      <c r="AC17" s="1338" t="b">
        <f>Sockfit!$O$26</f>
        <v>0</v>
      </c>
      <c r="AD17" s="1338" t="str">
        <f>Sockfit!$P$26</f>
        <v>0000</v>
      </c>
      <c r="AE17" s="122"/>
      <c r="AF17" s="1335"/>
    </row>
    <row r="18" spans="1:32">
      <c r="A18" s="189" t="s">
        <v>2204</v>
      </c>
      <c r="B18" s="605" t="s">
        <v>2205</v>
      </c>
      <c r="C18" s="1304"/>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1"/>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38"/>
      <c r="AC18" s="1338" t="b">
        <f>Sockfit!$O$28</f>
        <v>0</v>
      </c>
      <c r="AD18" s="1338" t="str">
        <f>Sockfit!$P$28</f>
        <v>0000</v>
      </c>
      <c r="AE18" s="122"/>
      <c r="AF18" s="1335"/>
    </row>
    <row r="19" spans="1:32">
      <c r="A19" s="600" t="str">
        <f>IF(AC11,"+"&amp;MID(AD11,4,2)&amp;" "&amp;MID(AD11,1,2),MID($R$16,1,1)&amp;" Red "&amp;MID($R$16,3,1)&amp;" Blue "&amp;MID($R$16,5,1)&amp;" Yellow")</f>
        <v>0 Red 0 Blue 0 Yellow</v>
      </c>
      <c r="B19" s="595" t="s">
        <v>303</v>
      </c>
      <c r="C19" s="1305" t="b">
        <f>MID($R$16,1,1)+MID($R$16,3,1)+MID(R$16,5,1)&gt;=1</f>
        <v>0</v>
      </c>
      <c r="D19" s="596">
        <f>IF($C19,VLOOKUP($B19,GenSocketStats,lookStr,FALSE),0)</f>
        <v>0</v>
      </c>
      <c r="E19" s="596">
        <f>IF($C19,VLOOKUP($B19,GenSocketStats,lookAgi,FALSE),0)</f>
        <v>0</v>
      </c>
      <c r="F19" s="596">
        <f>IF($C19,VLOOKUP($B19,GenSocketStats,lookSta,FALSE),0)</f>
        <v>0</v>
      </c>
      <c r="G19" s="597">
        <f>IF($C19,VLOOKUP($B19,GenSocketStats,lookCrit,FALSE),0)</f>
        <v>0</v>
      </c>
      <c r="H19" s="597">
        <f>IF($C19,VLOOKUP($B19,GenSocketStats,lookHit,FALSE),0)</f>
        <v>0</v>
      </c>
      <c r="I19" s="596">
        <f>IF($C19,VLOOKUP($B19,GenSocketStats,lookAP,FALSE),0)</f>
        <v>0</v>
      </c>
      <c r="J19" s="596">
        <f>IF($C19,VLOOKUP($B19,GenSocketStats,lookRes,FALSE),0)</f>
        <v>0</v>
      </c>
      <c r="K19" s="597">
        <f>IF($C19,VLOOKUP($B19,GenSocketStats,lookDod,FALSE),0)</f>
        <v>0</v>
      </c>
      <c r="L19" s="596">
        <f>IF($C19,VLOOKUP($B19,GenSocketStats,lookExp,FALSE),0)</f>
        <v>0</v>
      </c>
      <c r="M19" s="596"/>
      <c r="N19" s="601"/>
      <c r="O19" s="596"/>
      <c r="P19" s="596">
        <f>IF($C19,VLOOKUP($B19,GenSocketStats,lookHaste,FALSE),0)</f>
        <v>0</v>
      </c>
      <c r="Q19" s="596">
        <f>IF($C19,VLOOKUP($B19,GenSocketStats,lookArmor,FALSE),0)</f>
        <v>0</v>
      </c>
      <c r="R19" s="596">
        <f>IF($C19,VLOOKUP($B19,GenSocketStats,lookSoc,FALSE),0)</f>
        <v>0</v>
      </c>
      <c r="S19" s="598">
        <f>IF($C19,VLOOKUP($B19,GenSocketStats,lookSet,FALSE),0)</f>
        <v>0</v>
      </c>
      <c r="T19" s="39"/>
      <c r="U19" s="40"/>
      <c r="V19" s="41"/>
      <c r="W19" s="40"/>
      <c r="X19" s="40"/>
      <c r="Y19" s="42"/>
      <c r="Z19" s="36"/>
      <c r="AA19" s="38"/>
      <c r="AB19" s="1338"/>
      <c r="AC19" s="1338" t="b">
        <f>Sockfit!$O$31</f>
        <v>0</v>
      </c>
      <c r="AD19" s="1338" t="str">
        <f>Sockfit!$P$31</f>
        <v>0000</v>
      </c>
      <c r="AE19" s="122"/>
      <c r="AF19" s="1335"/>
    </row>
    <row r="20" spans="1:32">
      <c r="A20" s="189"/>
      <c r="B20" s="595" t="s">
        <v>303</v>
      </c>
      <c r="C20" s="1305" t="b">
        <f>MID($R$16,1,1)+MID($R$16,3,1)+MID(R$16,5,1)&gt;=2</f>
        <v>0</v>
      </c>
      <c r="D20" s="596">
        <f>IF($C20,VLOOKUP($B20,GenSocketStats,lookStr,FALSE),0)</f>
        <v>0</v>
      </c>
      <c r="E20" s="596">
        <f>IF($C20,VLOOKUP($B20,GenSocketStats,lookAgi,FALSE),0)</f>
        <v>0</v>
      </c>
      <c r="F20" s="596">
        <f>IF($C20,VLOOKUP($B20,GenSocketStats,lookSta,FALSE),0)</f>
        <v>0</v>
      </c>
      <c r="G20" s="597">
        <f>IF($C20,VLOOKUP($B20,GenSocketStats,lookCrit,FALSE),0)</f>
        <v>0</v>
      </c>
      <c r="H20" s="597">
        <f>IF($C20,VLOOKUP($B20,GenSocketStats,lookHit,FALSE),0)</f>
        <v>0</v>
      </c>
      <c r="I20" s="596">
        <f>IF($C20,VLOOKUP($B20,GenSocketStats,lookAP,FALSE),0)</f>
        <v>0</v>
      </c>
      <c r="J20" s="596">
        <f>IF($C20,VLOOKUP($B20,GenSocketStats,lookRes,FALSE),0)</f>
        <v>0</v>
      </c>
      <c r="K20" s="597">
        <f>IF($C20,VLOOKUP($B20,GenSocketStats,lookDod,FALSE),0)</f>
        <v>0</v>
      </c>
      <c r="L20" s="596">
        <f>IF($C20,VLOOKUP($B20,GenSocketStats,lookExp,FALSE),0)</f>
        <v>0</v>
      </c>
      <c r="M20" s="596"/>
      <c r="N20" s="601"/>
      <c r="O20" s="596"/>
      <c r="P20" s="596">
        <f>IF($C20,VLOOKUP($B20,GenSocketStats,lookHaste,FALSE),0)</f>
        <v>0</v>
      </c>
      <c r="Q20" s="596">
        <f>IF($C20,VLOOKUP($B20,GenSocketStats,lookArmor,FALSE),0)</f>
        <v>0</v>
      </c>
      <c r="R20" s="596">
        <f>IF($C20,VLOOKUP($B20,GenSocketStats,lookSoc,FALSE),0)</f>
        <v>0</v>
      </c>
      <c r="S20" s="598">
        <f>IF($C20,VLOOKUP($B20,GenSocketStats,lookSet,FALSE),0)</f>
        <v>0</v>
      </c>
      <c r="AB20" s="1338"/>
      <c r="AC20" s="1338" t="b">
        <f>Sockfit!$O$34</f>
        <v>0</v>
      </c>
      <c r="AD20" s="1338" t="str">
        <f>Sockfit!$P$34</f>
        <v>0000</v>
      </c>
      <c r="AE20" s="122"/>
      <c r="AF20" s="1335"/>
    </row>
    <row r="21" spans="1:32" ht="13.5" thickBot="1">
      <c r="A21" s="189"/>
      <c r="B21" s="595" t="s">
        <v>303</v>
      </c>
      <c r="C21" s="1305" t="b">
        <f>MID($R$16,1,1)+MID($R$16,3,1)+MID(R$16,5,1)&gt;=3</f>
        <v>0</v>
      </c>
      <c r="D21" s="596">
        <f>IF($C21,VLOOKUP($B21,GenSocketStats,lookStr,FALSE),0)</f>
        <v>0</v>
      </c>
      <c r="E21" s="596">
        <f>IF($C21,VLOOKUP($B21,GenSocketStats,lookAgi,FALSE),0)</f>
        <v>0</v>
      </c>
      <c r="F21" s="596">
        <f>IF($C21,VLOOKUP($B21,GenSocketStats,lookSta,FALSE),0)</f>
        <v>0</v>
      </c>
      <c r="G21" s="597">
        <f>IF($C21,VLOOKUP($B21,GenSocketStats,lookCrit,FALSE),0)</f>
        <v>0</v>
      </c>
      <c r="H21" s="597">
        <f>IF($C21,VLOOKUP($B21,GenSocketStats,lookHit,FALSE),0)</f>
        <v>0</v>
      </c>
      <c r="I21" s="596">
        <f>IF($C21,VLOOKUP($B21,GenSocketStats,lookAP,FALSE),0)</f>
        <v>0</v>
      </c>
      <c r="J21" s="596">
        <f>IF($C21,VLOOKUP($B21,GenSocketStats,lookRes,FALSE),0)</f>
        <v>0</v>
      </c>
      <c r="K21" s="597">
        <f>IF($C21,VLOOKUP($B21,GenSocketStats,lookDod,FALSE),0)</f>
        <v>0</v>
      </c>
      <c r="L21" s="596">
        <f>IF($C21,VLOOKUP($B21,GenSocketStats,lookExp,FALSE),0)</f>
        <v>0</v>
      </c>
      <c r="M21" s="596"/>
      <c r="N21" s="601"/>
      <c r="O21" s="596"/>
      <c r="P21" s="596">
        <f>IF($C21,VLOOKUP($B21,GenSocketStats,lookHaste,FALSE),0)</f>
        <v>0</v>
      </c>
      <c r="Q21" s="596">
        <f>IF($C21,VLOOKUP($B21,GenSocketStats,lookArmor,FALSE),0)</f>
        <v>0</v>
      </c>
      <c r="R21" s="596">
        <f>IF($C21,VLOOKUP($B21,GenSocketStats,lookSoc,FALSE),0)</f>
        <v>0</v>
      </c>
      <c r="S21" s="598">
        <f>IF($C21,VLOOKUP($B21,GenSocketStats,lookSet,FALSE),0)</f>
        <v>0</v>
      </c>
      <c r="AB21" s="1338"/>
      <c r="AC21" s="1338" t="b">
        <f>Sockfit!$O$38</f>
        <v>1</v>
      </c>
      <c r="AD21" s="1338" t="str">
        <f>Sockfit!$P$38</f>
        <v>ht 3</v>
      </c>
      <c r="AE21" s="122"/>
      <c r="AF21" s="1335"/>
    </row>
    <row r="22" spans="1:32" ht="13.5" thickBot="1">
      <c r="A22" s="608" t="s">
        <v>2207</v>
      </c>
      <c r="B22" s="613" t="s">
        <v>1932</v>
      </c>
      <c r="C22" s="1150" t="str">
        <f>VLOOKUP($B22,RangedStats,lookSource,FALSE)</f>
        <v>Reputation</v>
      </c>
      <c r="D22" s="609">
        <f>VLOOKUP($B22,RangedStats,lookStr,FALSE)</f>
        <v>0</v>
      </c>
      <c r="E22" s="609">
        <f>VLOOKUP($B22,RangedStats,lookAgi,FALSE)</f>
        <v>12</v>
      </c>
      <c r="F22" s="609">
        <f>VLOOKUP($B22,RangedStats,lookSta,FALSE)</f>
        <v>0</v>
      </c>
      <c r="G22" s="610">
        <f>VLOOKUP($B22,RangedStats,lookCrit,FALSE)</f>
        <v>0</v>
      </c>
      <c r="H22" s="610">
        <f>VLOOKUP($B22,RangedStats,lookHit,FALSE)</f>
        <v>11</v>
      </c>
      <c r="I22" s="609">
        <f>VLOOKUP($B22,RangedStats,lookAP,FALSE)</f>
        <v>22</v>
      </c>
      <c r="J22" s="611">
        <f>VLOOKUP($B22,RangedStats,lookRes,FALSE)</f>
        <v>0</v>
      </c>
      <c r="K22" s="610">
        <f>VLOOKUP($B22,RangedStats,lookDod,FALSE)</f>
        <v>0</v>
      </c>
      <c r="L22" s="611">
        <f>VLOOKUP($B22,RangedStats,lookExp,FALSE)</f>
        <v>0</v>
      </c>
      <c r="M22" s="611">
        <f>VLOOKUP($B22,RangedStats,lookDef,FALSE)</f>
        <v>0</v>
      </c>
      <c r="N22" s="1150"/>
      <c r="O22" s="611"/>
      <c r="P22" s="611">
        <f>VLOOKUP($B22,RangedStats,lookHaste,FALSE)</f>
        <v>0</v>
      </c>
      <c r="Q22" s="611">
        <f>VLOOKUP($B22,RangedStats,lookArmor,FALSE)</f>
        <v>0</v>
      </c>
      <c r="R22" s="611" t="str">
        <f>VLOOKUP($B22,RangedStats,lookSoc,FALSE)</f>
        <v>0 0 0</v>
      </c>
      <c r="S22" s="611">
        <f>VLOOKUP($B22,RangedStats,lookSet,FALSE)</f>
        <v>0</v>
      </c>
      <c r="U22" s="1452" t="s">
        <v>2209</v>
      </c>
      <c r="V22" s="1453"/>
      <c r="W22" s="1453"/>
      <c r="X22" s="1454"/>
      <c r="AB22" s="1338" t="s">
        <v>459</v>
      </c>
      <c r="AC22" s="1338" t="b">
        <f>Sockfit!$O$41</f>
        <v>0</v>
      </c>
      <c r="AD22" s="1338" t="str">
        <f>Sockfit!$P$41</f>
        <v>0000</v>
      </c>
      <c r="AE22" s="122"/>
      <c r="AF22" s="1338">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0" t="str">
        <f>IF(AC12,"+"&amp;MID(AD12,4,2)&amp;" "&amp;MID(AD12,1,2),MID($R$22,1,1)&amp;" Red "&amp;MID($R$22,3,1)&amp;" Blue "&amp;MID($R$22,5,1)&amp;" Yellow")</f>
        <v>0 Red 0 Blue 0 Yellow</v>
      </c>
      <c r="B23" s="595" t="s">
        <v>303</v>
      </c>
      <c r="C23" s="1305" t="b">
        <f>MID($R$22,1,1)+MID($R$22,3,1)+MID(R$22,5,1)&gt;=1</f>
        <v>0</v>
      </c>
      <c r="D23" s="596">
        <f>IF($C23,VLOOKUP($B23,GenSocketStats,lookStr,FALSE),0)</f>
        <v>0</v>
      </c>
      <c r="E23" s="596">
        <f>IF($C23,VLOOKUP($B23,GenSocketStats,lookAgi,FALSE),0)</f>
        <v>0</v>
      </c>
      <c r="F23" s="596">
        <f>IF($C23,VLOOKUP($B23,GenSocketStats,lookSta,FALSE),0)</f>
        <v>0</v>
      </c>
      <c r="G23" s="597">
        <f>IF($C23,VLOOKUP($B23,GenSocketStats,lookCrit,FALSE),0)</f>
        <v>0</v>
      </c>
      <c r="H23" s="597">
        <f>IF($C23,VLOOKUP($B23,GenSocketStats,lookHit,FALSE),0)</f>
        <v>0</v>
      </c>
      <c r="I23" s="596">
        <f>IF($C23,VLOOKUP($B23,GenSocketStats,lookAP,FALSE),0)</f>
        <v>0</v>
      </c>
      <c r="J23" s="596">
        <f>IF($C23,VLOOKUP($B23,GenSocketStats,lookRes,FALSE),0)</f>
        <v>0</v>
      </c>
      <c r="K23" s="597">
        <f>IF($C23,VLOOKUP($B23,GenSocketStats,lookDod,FALSE),0)</f>
        <v>0</v>
      </c>
      <c r="L23" s="596">
        <f>IF($C23,VLOOKUP($B23,GenSocketStats,lookExp,FALSE),0)</f>
        <v>0</v>
      </c>
      <c r="M23" s="596"/>
      <c r="N23" s="601"/>
      <c r="O23" s="596"/>
      <c r="P23" s="596">
        <f>IF($C23,VLOOKUP($B23,GenSocketStats,lookHaste,FALSE),0)</f>
        <v>0</v>
      </c>
      <c r="Q23" s="596">
        <f>IF($C23,VLOOKUP($B23,GenSocketStats,lookArmor,FALSE),0)</f>
        <v>0</v>
      </c>
      <c r="R23" s="596">
        <f>IF($C23,VLOOKUP($B23,GenSocketStats,lookSoc,FALSE),0)</f>
        <v>0</v>
      </c>
      <c r="S23" s="598">
        <f>IF($C23,VLOOKUP($B23,GenSocketStats,lookSet,FALSE),0)</f>
        <v>0</v>
      </c>
      <c r="U23" s="1443" t="s">
        <v>3266</v>
      </c>
      <c r="V23" s="1444"/>
      <c r="W23" s="1444"/>
      <c r="X23" s="1103" t="b">
        <f>AND($Y$44,COUNTIF($S$10:$S$71,"Assassination")&gt;=4)</f>
        <v>0</v>
      </c>
      <c r="AA23" s="26"/>
      <c r="AB23" s="224"/>
      <c r="AC23" s="224"/>
      <c r="AD23" s="1335"/>
      <c r="AE23" s="122"/>
      <c r="AF23" s="1338"/>
    </row>
    <row r="24" spans="1:32">
      <c r="A24" s="189"/>
      <c r="B24" s="595" t="s">
        <v>303</v>
      </c>
      <c r="C24" s="1305" t="b">
        <f>MID($R$22,1,1)+MID($R$22,3,1)+MID(R$22,5,1)&gt;=2</f>
        <v>0</v>
      </c>
      <c r="D24" s="596">
        <f>IF($C24,VLOOKUP($B24,GenSocketStats,lookStr,FALSE),0)</f>
        <v>0</v>
      </c>
      <c r="E24" s="596">
        <f>IF($C24,VLOOKUP($B24,GenSocketStats,lookAgi,FALSE),0)</f>
        <v>0</v>
      </c>
      <c r="F24" s="596">
        <f>IF($C24,VLOOKUP($B24,GenSocketStats,lookSta,FALSE),0)</f>
        <v>0</v>
      </c>
      <c r="G24" s="597">
        <f>IF($C24,VLOOKUP($B24,GenSocketStats,lookCrit,FALSE),0)</f>
        <v>0</v>
      </c>
      <c r="H24" s="597">
        <f>IF($C24,VLOOKUP($B24,GenSocketStats,lookHit,FALSE),0)</f>
        <v>0</v>
      </c>
      <c r="I24" s="596">
        <f>IF($C24,VLOOKUP($B24,GenSocketStats,lookAP,FALSE),0)</f>
        <v>0</v>
      </c>
      <c r="J24" s="596">
        <f>IF($C24,VLOOKUP($B24,GenSocketStats,lookRes,FALSE),0)</f>
        <v>0</v>
      </c>
      <c r="K24" s="597">
        <f>IF($C24,VLOOKUP($B24,GenSocketStats,lookDod,FALSE),0)</f>
        <v>0</v>
      </c>
      <c r="L24" s="596">
        <f>IF($C24,VLOOKUP($B24,GenSocketStats,lookExp,FALSE),0)</f>
        <v>0</v>
      </c>
      <c r="M24" s="596"/>
      <c r="N24" s="601"/>
      <c r="O24" s="596"/>
      <c r="P24" s="596">
        <f>IF($C24,VLOOKUP($B24,GenSocketStats,lookHaste,FALSE),0)</f>
        <v>0</v>
      </c>
      <c r="Q24" s="596">
        <f>IF($C24,VLOOKUP($B24,GenSocketStats,lookArmor,FALSE),0)</f>
        <v>0</v>
      </c>
      <c r="R24" s="596">
        <f>IF($C24,VLOOKUP($B24,GenSocketStats,lookSoc,FALSE),0)</f>
        <v>0</v>
      </c>
      <c r="S24" s="598">
        <f>IF($C24,VLOOKUP($B24,GenSocketStats,lookSet,FALSE),0)</f>
        <v>0</v>
      </c>
      <c r="U24" s="1437" t="s">
        <v>3267</v>
      </c>
      <c r="V24" s="1438"/>
      <c r="W24" s="1438"/>
      <c r="X24" s="1104" t="b">
        <f>AND($Y$44,COUNTIF($S$10:$S$71,"Bonescythe")&gt;=4)</f>
        <v>0</v>
      </c>
      <c r="Y24" s="23"/>
      <c r="AA24" s="26"/>
      <c r="AB24" s="224"/>
      <c r="AC24" s="224"/>
      <c r="AD24" s="1335"/>
      <c r="AE24" s="122"/>
      <c r="AF24" s="1338"/>
    </row>
    <row r="25" spans="1:32">
      <c r="A25" s="189"/>
      <c r="B25" s="595" t="s">
        <v>303</v>
      </c>
      <c r="C25" s="1305" t="b">
        <f>MID($R$22,1,1)+MID($R$22,3,1)+MID(R$22,5,1)&gt;=3</f>
        <v>0</v>
      </c>
      <c r="D25" s="596">
        <f>IF($C25,VLOOKUP($B25,GenSocketStats,lookStr,FALSE),0)</f>
        <v>0</v>
      </c>
      <c r="E25" s="596">
        <f>IF($C25,VLOOKUP($B25,GenSocketStats,lookAgi,FALSE),0)</f>
        <v>0</v>
      </c>
      <c r="F25" s="596">
        <f>IF($C25,VLOOKUP($B25,GenSocketStats,lookSta,FALSE),0)</f>
        <v>0</v>
      </c>
      <c r="G25" s="597">
        <f>IF($C25,VLOOKUP($B25,GenSocketStats,lookCrit,FALSE),0)</f>
        <v>0</v>
      </c>
      <c r="H25" s="597">
        <f>IF($C25,VLOOKUP($B25,GenSocketStats,lookHit,FALSE),0)</f>
        <v>0</v>
      </c>
      <c r="I25" s="596">
        <f>IF($C25,VLOOKUP($B25,GenSocketStats,lookAP,FALSE),0)</f>
        <v>0</v>
      </c>
      <c r="J25" s="596">
        <f>IF($C25,VLOOKUP($B25,GenSocketStats,lookRes,FALSE),0)</f>
        <v>0</v>
      </c>
      <c r="K25" s="597">
        <f>IF($C25,VLOOKUP($B25,GenSocketStats,lookDod,FALSE),0)</f>
        <v>0</v>
      </c>
      <c r="L25" s="596">
        <f>IF($C25,VLOOKUP($B25,GenSocketStats,lookExp,FALSE),0)</f>
        <v>0</v>
      </c>
      <c r="M25" s="596"/>
      <c r="N25" s="601"/>
      <c r="O25" s="596"/>
      <c r="P25" s="596">
        <f>IF($C25,VLOOKUP($B25,GenSocketStats,lookHaste,FALSE),0)</f>
        <v>0</v>
      </c>
      <c r="Q25" s="596">
        <f>IF($C25,VLOOKUP($B25,GenSocketStats,lookArmor,FALSE),0)</f>
        <v>0</v>
      </c>
      <c r="R25" s="596">
        <f>IF($C25,VLOOKUP($B25,GenSocketStats,lookSoc,FALSE),0)</f>
        <v>0</v>
      </c>
      <c r="S25" s="598">
        <f>IF($C25,VLOOKUP($B25,GenSocketStats,lookSet,FALSE),0)</f>
        <v>0</v>
      </c>
      <c r="U25" s="1437" t="s">
        <v>3268</v>
      </c>
      <c r="V25" s="1438"/>
      <c r="W25" s="1438"/>
      <c r="X25" s="1104" t="b">
        <f>AND($Y$44,COUNTIF($S$10:$S$71,"Bonescythe")&gt;=8)</f>
        <v>0</v>
      </c>
      <c r="Y25" s="43"/>
      <c r="AA25" s="26"/>
      <c r="AB25" s="224"/>
      <c r="AC25" s="224"/>
      <c r="AD25" s="1335"/>
      <c r="AE25" s="122"/>
      <c r="AF25" s="1338"/>
    </row>
    <row r="26" spans="1:32">
      <c r="A26" s="608" t="s">
        <v>460</v>
      </c>
      <c r="B26" s="613" t="s">
        <v>461</v>
      </c>
      <c r="C26" s="1150" t="str">
        <f>VLOOKUP($B26,HelmStats,lookSource,FALSE)</f>
        <v>Karazhan</v>
      </c>
      <c r="D26" s="609">
        <f>VLOOKUP($B26,HelmStats,lookStr,FALSE)</f>
        <v>0</v>
      </c>
      <c r="E26" s="609">
        <f>VLOOKUP($B26,HelmStats,lookAgi,FALSE)</f>
        <v>28</v>
      </c>
      <c r="F26" s="609">
        <f>VLOOKUP($B26,HelmStats,lookSta,FALSE)</f>
        <v>39</v>
      </c>
      <c r="G26" s="610">
        <f>VLOOKUP($B26,HelmStats,lookCrit,FALSE)</f>
        <v>0</v>
      </c>
      <c r="H26" s="610">
        <f>VLOOKUP($B26,HelmStats,lookHit,FALSE)</f>
        <v>14</v>
      </c>
      <c r="I26" s="609">
        <f>VLOOKUP($B26,HelmStats,lookAP,FALSE)</f>
        <v>78</v>
      </c>
      <c r="J26" s="611">
        <f>VLOOKUP($B26,HelmStats,lookRes,FALSE)</f>
        <v>0</v>
      </c>
      <c r="K26" s="610">
        <f>VLOOKUP($B26,HelmStats,lookDod,FALSE)</f>
        <v>0</v>
      </c>
      <c r="L26" s="611">
        <f>VLOOKUP($B26,HelmStats,lookExp,FALSE)</f>
        <v>0</v>
      </c>
      <c r="M26" s="611">
        <f>VLOOKUP($B26,HelmStats,lookDef,FALSE)</f>
        <v>0</v>
      </c>
      <c r="N26" s="1150"/>
      <c r="O26" s="611"/>
      <c r="P26" s="611">
        <f>VLOOKUP($B26,HelmStats,lookHaste,FALSE)</f>
        <v>0</v>
      </c>
      <c r="Q26" s="611">
        <f>VLOOKUP($B26,HelmStats,lookArmor,FALSE)</f>
        <v>0</v>
      </c>
      <c r="R26" s="611" t="str">
        <f>VLOOKUP($B26,HelmStats,lookSoc,FALSE)</f>
        <v>1 0 0 1</v>
      </c>
      <c r="S26" s="611" t="str">
        <f>VLOOKUP($B26,HelmStats,lookSet,FALSE)</f>
        <v>Netherblade</v>
      </c>
      <c r="U26" s="1443" t="s">
        <v>462</v>
      </c>
      <c r="V26" s="1444"/>
      <c r="W26" s="1444"/>
      <c r="X26" s="1103" t="b">
        <f>AND($Y$44,COUNTIF($S$10:$S$71,"Deathmantle")&gt;=2)</f>
        <v>0</v>
      </c>
      <c r="Y26" s="23"/>
      <c r="AA26" s="26"/>
      <c r="AB26" s="224"/>
      <c r="AC26" s="224"/>
      <c r="AD26" s="1335"/>
      <c r="AE26" s="122"/>
      <c r="AF26" s="1338">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5" t="s">
        <v>464</v>
      </c>
      <c r="C27" s="1304"/>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1"/>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3" t="b">
        <f>AND($Y$44,COUNTIF($S$10:$S$71,"Deathmantle")&gt;=4)</f>
        <v>0</v>
      </c>
      <c r="Y27" s="43"/>
      <c r="AA27" s="26"/>
      <c r="AB27" s="224"/>
      <c r="AC27" s="224"/>
      <c r="AD27" s="1335"/>
      <c r="AE27" s="122"/>
      <c r="AF27" s="1338">
        <f>$D27*dpsStr+$E27*dpsAgi+$G27*dpsCrit+$H27*dpsHit+$I27*dpsAP+$L27*dpsExp+$P27*dpsHaste+$Q27*dpsArmor</f>
        <v>100.94972435311001</v>
      </c>
    </row>
    <row r="28" spans="1:32">
      <c r="A28" s="189" t="s">
        <v>773</v>
      </c>
      <c r="B28" s="595" t="s">
        <v>292</v>
      </c>
      <c r="C28" s="1305">
        <f>MID($R$26,7,1)+0</f>
        <v>1</v>
      </c>
      <c r="D28" s="596">
        <f>IF($C28,VLOOKUP($B28,MetaSocketStats,lookStr,FALSE),0)</f>
        <v>0</v>
      </c>
      <c r="E28" s="596">
        <f>IF($C28,VLOOKUP($B28,MetaSocketStats,lookAgi,FALSE),0)</f>
        <v>12</v>
      </c>
      <c r="F28" s="596">
        <f>IF($C28,VLOOKUP($B28,MetaSocketStats,lookSta,FALSE),0)</f>
        <v>0</v>
      </c>
      <c r="G28" s="597">
        <f>IF($C28,VLOOKUP($B28,MetaSocketStats,lookCrit,FALSE),0)</f>
        <v>0</v>
      </c>
      <c r="H28" s="597">
        <f>IF($C28,VLOOKUP($B28,MetaSocketStats,lookHit,FALSE),0)</f>
        <v>0</v>
      </c>
      <c r="I28" s="596">
        <f>IF($C28,VLOOKUP($B28,MetaSocketStats,lookAP,FALSE),0)</f>
        <v>0</v>
      </c>
      <c r="J28" s="596">
        <f>IF($C28,VLOOKUP($B28,MetaSocketStats,lookRes,FALSE),0)</f>
        <v>0</v>
      </c>
      <c r="K28" s="597">
        <f>IF($C28,VLOOKUP($B28,MetaSocketStats,lookDod,FALSE),0)</f>
        <v>0</v>
      </c>
      <c r="L28" s="596">
        <f>IF($C28,VLOOKUP($B28,MetaSocketStats,lookExp,FALSE),0)</f>
        <v>0</v>
      </c>
      <c r="M28" s="596"/>
      <c r="N28" s="601"/>
      <c r="O28" s="596"/>
      <c r="P28" s="596">
        <f>IF($C28,VLOOKUP($B28,MetaSocketStats,lookHaste,FALSE),0)</f>
        <v>0</v>
      </c>
      <c r="Q28" s="596">
        <f>IF($C28,VLOOKUP($B28,MetaSocketStats,lookArmor,FALSE),0)</f>
        <v>0</v>
      </c>
      <c r="R28" s="598">
        <f>IF(B28="none",0,1)</f>
        <v>1</v>
      </c>
      <c r="S28" s="598">
        <f>IF($C18,VLOOKUP($B28,MetaSocketStats,lookSet,FALSE),0)</f>
        <v>0</v>
      </c>
      <c r="T28" s="201">
        <f>IF($C28,VLOOKUP($B28,MetaSocketStats,20,FALSE),0)</f>
        <v>0</v>
      </c>
      <c r="U28" s="1437" t="s">
        <v>434</v>
      </c>
      <c r="V28" s="1438"/>
      <c r="W28" s="1438"/>
      <c r="X28" s="1104" t="b">
        <f>AND($Y$44,COUNTIF($S$10:$S$71,"Gladiator's")&gt;=2)</f>
        <v>0</v>
      </c>
      <c r="Y28" s="23">
        <f>IF(X28,35,0)</f>
        <v>0</v>
      </c>
      <c r="AA28" s="26"/>
      <c r="AB28" s="224"/>
      <c r="AC28" s="224"/>
      <c r="AD28" s="1335"/>
      <c r="AE28" s="122"/>
      <c r="AF28" s="1338"/>
    </row>
    <row r="29" spans="1:32">
      <c r="A29" s="600" t="str">
        <f>IF(AC13,"+"&amp;MID(AD13,4,2)&amp;" "&amp;MID(AD13,1,2),MID($R$26,1,1)&amp;" Red "&amp;MID($R$26,3,1)&amp;" Blue "&amp;MID($R$26,5,1)&amp;" Yellow")</f>
        <v>+4 ag</v>
      </c>
      <c r="B29" s="602" t="s">
        <v>1978</v>
      </c>
      <c r="C29" s="1305" t="b">
        <f>MID($R$26,1,1)+MID($R$26,3,1)+MID(R$26,5,1)&gt;=1</f>
        <v>1</v>
      </c>
      <c r="D29" s="596">
        <f>IF($C29,VLOOKUP($B29,GenSocketStats,lookStr,FALSE),0)</f>
        <v>0</v>
      </c>
      <c r="E29" s="596">
        <f>IF($C29,VLOOKUP($B29,GenSocketStats,lookAgi,FALSE),0)</f>
        <v>4</v>
      </c>
      <c r="F29" s="596">
        <f>IF($C29,VLOOKUP($B29,GenSocketStats,lookSta,FALSE),0)</f>
        <v>6</v>
      </c>
      <c r="G29" s="597">
        <f>IF($C29,VLOOKUP($B29,GenSocketStats,lookCrit,FALSE),0)</f>
        <v>0</v>
      </c>
      <c r="H29" s="597">
        <f>IF($C29,VLOOKUP($B29,GenSocketStats,lookHit,FALSE),0)</f>
        <v>0</v>
      </c>
      <c r="I29" s="596">
        <f>IF($C29,VLOOKUP($B29,GenSocketStats,lookAP,FALSE),0)</f>
        <v>0</v>
      </c>
      <c r="J29" s="596">
        <f>IF($C29,VLOOKUP($B29,GenSocketStats,lookRes,FALSE),0)</f>
        <v>0</v>
      </c>
      <c r="K29" s="597">
        <f>IF($C29,VLOOKUP($B29,GenSocketStats,lookDod,FALSE),0)</f>
        <v>0</v>
      </c>
      <c r="L29" s="596">
        <f>IF($C29,VLOOKUP($B29,GenSocketStats,lookExp,FALSE),0)</f>
        <v>0</v>
      </c>
      <c r="M29" s="596"/>
      <c r="N29" s="601"/>
      <c r="O29" s="596"/>
      <c r="P29" s="596">
        <f>IF($C29,VLOOKUP($B29,GenSocketStats,lookHaste,FALSE),0)</f>
        <v>0</v>
      </c>
      <c r="Q29" s="596">
        <f>IF($C29,VLOOKUP($B29,GenSocketStats,lookArmor,FALSE),0)</f>
        <v>0</v>
      </c>
      <c r="R29" s="596" t="str">
        <f>IF($C29,VLOOKUP($B29,GenSocketStats,lookSoc,FALSE),0)</f>
        <v>1 1 0</v>
      </c>
      <c r="S29" s="598">
        <f>IF($C29,VLOOKUP($B29,GenSocketStats,lookSet,FALSE),0)</f>
        <v>0</v>
      </c>
      <c r="U29" s="1447" t="s">
        <v>2213</v>
      </c>
      <c r="V29" s="1438"/>
      <c r="W29" s="1438"/>
      <c r="X29" s="1104" t="b">
        <f>AND($Y$44,COUNTIF($S$10:$S$71,"Gladiator's")&gt;=4)</f>
        <v>0</v>
      </c>
      <c r="Y29" s="23"/>
      <c r="AA29" s="26"/>
      <c r="AB29" s="224"/>
      <c r="AC29" s="223"/>
      <c r="AD29" s="1335"/>
      <c r="AE29" s="122"/>
      <c r="AF29" s="1338"/>
    </row>
    <row r="30" spans="1:32">
      <c r="A30" s="189"/>
      <c r="B30" s="595" t="s">
        <v>303</v>
      </c>
      <c r="C30" s="1305" t="b">
        <f>MID($R$26,1,1)+MID($R$26,3,1)+MID(R$26,5,1)&gt;=2</f>
        <v>0</v>
      </c>
      <c r="D30" s="596">
        <f>IF($C30,VLOOKUP($B30,GenSocketStats,lookStr,FALSE),0)</f>
        <v>0</v>
      </c>
      <c r="E30" s="596">
        <f>IF($C30,VLOOKUP($B30,GenSocketStats,lookAgi,FALSE),0)</f>
        <v>0</v>
      </c>
      <c r="F30" s="596">
        <f>IF($C30,VLOOKUP($B30,GenSocketStats,lookSta,FALSE),0)</f>
        <v>0</v>
      </c>
      <c r="G30" s="597">
        <f>IF($C30,VLOOKUP($B30,GenSocketStats,lookCrit,FALSE),0)</f>
        <v>0</v>
      </c>
      <c r="H30" s="597">
        <f>IF($C30,VLOOKUP($B30,GenSocketStats,lookHit,FALSE),0)</f>
        <v>0</v>
      </c>
      <c r="I30" s="596">
        <f>IF($C30,VLOOKUP($B30,GenSocketStats,lookAP,FALSE),0)</f>
        <v>0</v>
      </c>
      <c r="J30" s="596">
        <f>IF($C30,VLOOKUP($B30,GenSocketStats,lookRes,FALSE),0)</f>
        <v>0</v>
      </c>
      <c r="K30" s="597">
        <f>IF($C30,VLOOKUP($B30,GenSocketStats,lookDod,FALSE),0)</f>
        <v>0</v>
      </c>
      <c r="L30" s="596">
        <f>IF($C30,VLOOKUP($B30,GenSocketStats,lookExp,FALSE),0)</f>
        <v>0</v>
      </c>
      <c r="M30" s="596"/>
      <c r="N30" s="601"/>
      <c r="O30" s="596"/>
      <c r="P30" s="596">
        <f>IF($C30,VLOOKUP($B30,GenSocketStats,lookHaste,FALSE),0)</f>
        <v>0</v>
      </c>
      <c r="Q30" s="596">
        <f>IF($C30,VLOOKUP($B30,GenSocketStats,lookArmor,FALSE),0)</f>
        <v>0</v>
      </c>
      <c r="R30" s="596">
        <f>IF($C30,VLOOKUP($B30,GenSocketStats,lookSoc,FALSE),0)</f>
        <v>0</v>
      </c>
      <c r="S30" s="598">
        <f>IF($C30,VLOOKUP($B30,GenSocketStats,lookSet,FALSE),0)</f>
        <v>0</v>
      </c>
      <c r="U30" s="1443" t="s">
        <v>435</v>
      </c>
      <c r="V30" s="1444"/>
      <c r="W30" s="1444"/>
      <c r="X30" s="1103" t="b">
        <f>AND($Y$44,COUNTIF($S$10:$S$71,"Netherblade")&gt;=2)</f>
        <v>1</v>
      </c>
      <c r="Y30" s="23"/>
      <c r="AB30" s="224"/>
      <c r="AC30" s="223"/>
      <c r="AD30" s="1335"/>
      <c r="AE30" s="122"/>
      <c r="AF30" s="1338"/>
    </row>
    <row r="31" spans="1:32">
      <c r="A31" s="189"/>
      <c r="B31" s="595" t="s">
        <v>303</v>
      </c>
      <c r="C31" s="1305" t="b">
        <f>MID($R$26,1,1)+MID($R$26,3,1)+MID(R$26,5,1)&gt;=3</f>
        <v>0</v>
      </c>
      <c r="D31" s="596">
        <f>IF($C31,VLOOKUP($B31,GenSocketStats,lookStr,FALSE),0)</f>
        <v>0</v>
      </c>
      <c r="E31" s="596">
        <f>IF($C31,VLOOKUP($B31,GenSocketStats,lookAgi,FALSE),0)</f>
        <v>0</v>
      </c>
      <c r="F31" s="596">
        <f>IF($C31,VLOOKUP($B31,GenSocketStats,lookSta,FALSE),0)</f>
        <v>0</v>
      </c>
      <c r="G31" s="597">
        <f>IF($C31,VLOOKUP($B31,GenSocketStats,lookCrit,FALSE),0)</f>
        <v>0</v>
      </c>
      <c r="H31" s="597">
        <f>IF($C31,VLOOKUP($B31,GenSocketStats,lookHit,FALSE),0)</f>
        <v>0</v>
      </c>
      <c r="I31" s="596">
        <f>IF($C31,VLOOKUP($B31,GenSocketStats,lookAP,FALSE),0)</f>
        <v>0</v>
      </c>
      <c r="J31" s="596">
        <f>IF($C31,VLOOKUP($B31,GenSocketStats,lookRes,FALSE),0)</f>
        <v>0</v>
      </c>
      <c r="K31" s="597">
        <f>IF($C31,VLOOKUP($B31,GenSocketStats,lookDod,FALSE),0)</f>
        <v>0</v>
      </c>
      <c r="L31" s="596">
        <f>IF($C31,VLOOKUP($B31,GenSocketStats,lookExp,FALSE),0)</f>
        <v>0</v>
      </c>
      <c r="M31" s="596"/>
      <c r="N31" s="601"/>
      <c r="O31" s="596"/>
      <c r="P31" s="596">
        <f>IF($C31,VLOOKUP($B31,GenSocketStats,lookHaste,FALSE),0)</f>
        <v>0</v>
      </c>
      <c r="Q31" s="596">
        <f>IF($C31,VLOOKUP($B31,GenSocketStats,lookArmor,FALSE),0)</f>
        <v>0</v>
      </c>
      <c r="R31" s="596">
        <f>IF($C31,VLOOKUP($B31,GenSocketStats,lookSoc,FALSE),0)</f>
        <v>0</v>
      </c>
      <c r="S31" s="598">
        <f>IF($C31,VLOOKUP($B31,GenSocketStats,lookSet,FALSE),0)</f>
        <v>0</v>
      </c>
      <c r="T31" s="27"/>
      <c r="U31" s="1443" t="s">
        <v>436</v>
      </c>
      <c r="V31" s="1444"/>
      <c r="W31" s="1444"/>
      <c r="X31" s="1103" t="b">
        <f>AND($Y$44,COUNTIF($S$10:$S$71,"Netherblade")&gt;=4)</f>
        <v>0</v>
      </c>
      <c r="AA31" s="26"/>
      <c r="AB31" s="224"/>
      <c r="AC31" s="224"/>
      <c r="AD31" s="1335"/>
      <c r="AE31" s="122"/>
      <c r="AF31" s="1338"/>
    </row>
    <row r="32" spans="1:32">
      <c r="A32" s="608" t="s">
        <v>437</v>
      </c>
      <c r="B32" s="613" t="s">
        <v>656</v>
      </c>
      <c r="C32" s="1150" t="str">
        <f>VLOOKUP($B32,NeckStats,lookSource,FALSE)</f>
        <v>Heroic</v>
      </c>
      <c r="D32" s="609">
        <f>VLOOKUP($B32,NeckStats,lookStr,FALSE)</f>
        <v>0</v>
      </c>
      <c r="E32" s="609">
        <f>VLOOKUP($B32,NeckStats,lookAgi,FALSE)</f>
        <v>20</v>
      </c>
      <c r="F32" s="609">
        <f>VLOOKUP($B32,NeckStats,lookSta,FALSE)</f>
        <v>18</v>
      </c>
      <c r="G32" s="610">
        <f>VLOOKUP($B32,NeckStats,lookCrit,FALSE)</f>
        <v>0</v>
      </c>
      <c r="H32" s="610">
        <f>VLOOKUP($B32,NeckStats,lookHit,FALSE)</f>
        <v>18</v>
      </c>
      <c r="I32" s="609">
        <f>VLOOKUP($B32,NeckStats,lookAP,FALSE)</f>
        <v>42</v>
      </c>
      <c r="J32" s="611">
        <f>VLOOKUP($B32,NeckStats,lookRes,FALSE)</f>
        <v>0</v>
      </c>
      <c r="K32" s="610">
        <f>VLOOKUP($B32,NeckStats,lookDod,FALSE)</f>
        <v>0</v>
      </c>
      <c r="L32" s="611">
        <f>VLOOKUP($B32,NeckStats,lookExp,FALSE)</f>
        <v>0</v>
      </c>
      <c r="M32" s="611">
        <f>VLOOKUP($B32,NeckStats,lookDef,FALSE)</f>
        <v>0</v>
      </c>
      <c r="N32" s="1150"/>
      <c r="O32" s="611"/>
      <c r="P32" s="611">
        <f>VLOOKUP($B32,NeckStats,lookHaste,FALSE)</f>
        <v>0</v>
      </c>
      <c r="Q32" s="611">
        <f>VLOOKUP($B32,NeckStats,lookArmor,FALSE)</f>
        <v>0</v>
      </c>
      <c r="R32" s="611" t="str">
        <f>VLOOKUP($B32,NeckStats,lookSoc,FALSE)</f>
        <v>0 0 0</v>
      </c>
      <c r="S32" s="611">
        <f>VLOOKUP($B32,NeckStats,lookSet,FALSE)</f>
        <v>0</v>
      </c>
      <c r="T32" s="27"/>
      <c r="U32" s="1437" t="s">
        <v>657</v>
      </c>
      <c r="V32" s="1438"/>
      <c r="W32" s="1438"/>
      <c r="X32" s="1104" t="b">
        <f>AND($Y$44,COUNTIF($S$10:$S$71,"Fel Skin")&gt;=3)</f>
        <v>0</v>
      </c>
      <c r="Y32" s="23">
        <f>IF(X32,20,0)</f>
        <v>0</v>
      </c>
      <c r="AA32" s="26"/>
      <c r="AB32" s="224"/>
      <c r="AC32" s="223"/>
      <c r="AD32" s="1335"/>
      <c r="AE32" s="122"/>
      <c r="AF32" s="1338">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0" t="str">
        <f>IF(AC14,"+"&amp;MID(AD14,4,2)&amp;" "&amp;MID(AD14,1,2),MID($R$32,1,1)&amp;" Red "&amp;MID($R$32,3,1)&amp;" Blue "&amp;MID($R$32,5,1)&amp;" Yellow")</f>
        <v>0 Red 0 Blue 0 Yellow</v>
      </c>
      <c r="B33" s="595" t="s">
        <v>303</v>
      </c>
      <c r="C33" s="1305" t="b">
        <f>MID($R$32,1,1)+MID($R$32,3,1)+MID(R$32,5,1)&gt;=1</f>
        <v>0</v>
      </c>
      <c r="D33" s="596">
        <f>IF($C33,VLOOKUP($B33,GenSocketStats,lookStr,FALSE),0)</f>
        <v>0</v>
      </c>
      <c r="E33" s="596">
        <f>IF($C33,VLOOKUP($B33,GenSocketStats,lookAgi,FALSE),0)</f>
        <v>0</v>
      </c>
      <c r="F33" s="596">
        <f>IF($C33,VLOOKUP($B33,GenSocketStats,lookSta,FALSE),0)</f>
        <v>0</v>
      </c>
      <c r="G33" s="597">
        <f>IF($C33,VLOOKUP($B33,GenSocketStats,lookCrit,FALSE),0)</f>
        <v>0</v>
      </c>
      <c r="H33" s="597">
        <f>IF($C33,VLOOKUP($B33,GenSocketStats,lookHit,FALSE),0)</f>
        <v>0</v>
      </c>
      <c r="I33" s="596">
        <f>IF($C33,VLOOKUP($B33,GenSocketStats,lookAP,FALSE),0)</f>
        <v>0</v>
      </c>
      <c r="J33" s="596">
        <f>IF($C33,VLOOKUP($B33,GenSocketStats,lookRes,FALSE),0)</f>
        <v>0</v>
      </c>
      <c r="K33" s="597">
        <f>IF($C33,VLOOKUP($B33,GenSocketStats,lookDod,FALSE),0)</f>
        <v>0</v>
      </c>
      <c r="L33" s="596">
        <f>IF($C33,VLOOKUP($B33,GenSocketStats,lookExp,FALSE),0)</f>
        <v>0</v>
      </c>
      <c r="M33" s="596"/>
      <c r="N33" s="601"/>
      <c r="O33" s="596"/>
      <c r="P33" s="596">
        <f>IF($C33,VLOOKUP($B33,GenSocketStats,lookHaste,FALSE),0)</f>
        <v>0</v>
      </c>
      <c r="Q33" s="596">
        <f>IF($C33,VLOOKUP($B33,GenSocketStats,lookArmor,FALSE),0)</f>
        <v>0</v>
      </c>
      <c r="R33" s="596">
        <f>IF($C33,VLOOKUP($B33,GenSocketStats,lookSoc,FALSE),0)</f>
        <v>0</v>
      </c>
      <c r="S33" s="598">
        <f>IF($C33,VLOOKUP($B33,GenSocketStats,lookSet,FALSE),0)</f>
        <v>0</v>
      </c>
      <c r="T33" s="27"/>
      <c r="U33" s="1443" t="s">
        <v>658</v>
      </c>
      <c r="V33" s="1444"/>
      <c r="W33" s="1444"/>
      <c r="X33" s="1103" t="b">
        <f>AND($Y$44,COUNTIF($S$10:$S$71,"Primal Intent")&gt;=3)</f>
        <v>0</v>
      </c>
      <c r="Y33" s="23">
        <f>IF(X33,40,0)</f>
        <v>0</v>
      </c>
      <c r="AA33" s="26"/>
      <c r="AB33" s="224"/>
      <c r="AC33" s="223"/>
      <c r="AD33" s="1335"/>
      <c r="AE33" s="122"/>
      <c r="AF33" s="1338"/>
    </row>
    <row r="34" spans="1:32">
      <c r="A34" s="27"/>
      <c r="B34" s="595" t="s">
        <v>303</v>
      </c>
      <c r="C34" s="1305" t="b">
        <f>MID($R$32,1,1)+MID($R$32,3,1)+MID(R$32,5,1)&gt;=2</f>
        <v>0</v>
      </c>
      <c r="D34" s="596">
        <f>IF($C34,VLOOKUP($B34,GenSocketStats,lookStr,FALSE),0)</f>
        <v>0</v>
      </c>
      <c r="E34" s="596">
        <f>IF($C34,VLOOKUP($B34,GenSocketStats,lookAgi,FALSE),0)</f>
        <v>0</v>
      </c>
      <c r="F34" s="596">
        <f>IF($C34,VLOOKUP($B34,GenSocketStats,lookSta,FALSE),0)</f>
        <v>0</v>
      </c>
      <c r="G34" s="597">
        <f>IF($C34,VLOOKUP($B34,GenSocketStats,lookCrit,FALSE),0)</f>
        <v>0</v>
      </c>
      <c r="H34" s="597">
        <f>IF($C34,VLOOKUP($B34,GenSocketStats,lookHit,FALSE),0)</f>
        <v>0</v>
      </c>
      <c r="I34" s="596">
        <f>IF($C34,VLOOKUP($B34,GenSocketStats,lookAP,FALSE),0)</f>
        <v>0</v>
      </c>
      <c r="J34" s="596">
        <f>IF($C34,VLOOKUP($B34,GenSocketStats,lookRes,FALSE),0)</f>
        <v>0</v>
      </c>
      <c r="K34" s="597">
        <f>IF($C34,VLOOKUP($B34,GenSocketStats,lookDod,FALSE),0)</f>
        <v>0</v>
      </c>
      <c r="L34" s="596">
        <f>IF($C34,VLOOKUP($B34,GenSocketStats,lookExp,FALSE),0)</f>
        <v>0</v>
      </c>
      <c r="M34" s="596"/>
      <c r="N34" s="601"/>
      <c r="O34" s="596"/>
      <c r="P34" s="596">
        <f>IF($C34,VLOOKUP($B34,GenSocketStats,lookHaste,FALSE),0)</f>
        <v>0</v>
      </c>
      <c r="Q34" s="596">
        <f>IF($C34,VLOOKUP($B34,GenSocketStats,lookArmor,FALSE),0)</f>
        <v>0</v>
      </c>
      <c r="R34" s="596">
        <f>IF($C34,VLOOKUP($B34,GenSocketStats,lookSoc,FALSE),0)</f>
        <v>0</v>
      </c>
      <c r="S34" s="598">
        <f>IF($C34,VLOOKUP($B34,GenSocketStats,lookSet,FALSE),0)</f>
        <v>0</v>
      </c>
      <c r="T34" s="27"/>
      <c r="U34" s="1437" t="s">
        <v>1114</v>
      </c>
      <c r="V34" s="1449"/>
      <c r="W34" s="1449"/>
      <c r="X34" s="1104" t="b">
        <f>AND($Y$44,COUNTIF($S$10:$S$71,"Wastewalker")&gt;=2)</f>
        <v>1</v>
      </c>
      <c r="Y34" s="23">
        <f>IF(X34,35,0)</f>
        <v>35</v>
      </c>
      <c r="AA34" s="26"/>
      <c r="AB34" s="224"/>
      <c r="AC34" s="223"/>
      <c r="AD34" s="1335"/>
      <c r="AE34" s="122"/>
      <c r="AF34" s="1338"/>
    </row>
    <row r="35" spans="1:32">
      <c r="A35" s="608" t="s">
        <v>659</v>
      </c>
      <c r="B35" s="613" t="s">
        <v>1014</v>
      </c>
      <c r="C35" s="1150" t="str">
        <f>VLOOKUP($B35,ShoulderStats,lookSource,FALSE)</f>
        <v>Heroic</v>
      </c>
      <c r="D35" s="609">
        <f>VLOOKUP($B35,ShoulderStats,lookStr,FALSE)</f>
        <v>0</v>
      </c>
      <c r="E35" s="609">
        <f>VLOOKUP($B35,ShoulderStats,lookAgi,FALSE)</f>
        <v>25</v>
      </c>
      <c r="F35" s="609">
        <f>VLOOKUP($B35,ShoulderStats,lookSta,FALSE)</f>
        <v>13</v>
      </c>
      <c r="G35" s="610">
        <f>VLOOKUP($B35,ShoulderStats,lookCrit,FALSE)</f>
        <v>0</v>
      </c>
      <c r="H35" s="610">
        <f>VLOOKUP($B35,ShoulderStats,lookHit,FALSE)</f>
        <v>16</v>
      </c>
      <c r="I35" s="609">
        <f>VLOOKUP($B35,ShoulderStats,lookAP,FALSE)</f>
        <v>34</v>
      </c>
      <c r="J35" s="610">
        <f>VLOOKUP($B35,ShoulderStats,lookRes,FALSE)</f>
        <v>0</v>
      </c>
      <c r="K35" s="610">
        <f>VLOOKUP($B35,ShoulderStats,lookDod,FALSE)</f>
        <v>0</v>
      </c>
      <c r="L35" s="611">
        <f>VLOOKUP($B35,ShoulderStats,lookExp,FALSE)</f>
        <v>0</v>
      </c>
      <c r="M35" s="611">
        <f>VLOOKUP($B35,ShoulderStats,lookDef,FALSE)</f>
        <v>0</v>
      </c>
      <c r="N35" s="1150"/>
      <c r="O35" s="611"/>
      <c r="P35" s="611">
        <f>VLOOKUP($B35,ShoulderStats,lookHaste,FALSE)</f>
        <v>0</v>
      </c>
      <c r="Q35" s="611">
        <f>VLOOKUP($B35,ShoulderStats,lookArmor,FALSE)</f>
        <v>0</v>
      </c>
      <c r="R35" s="611" t="str">
        <f>VLOOKUP($B35,ShoulderStats,lookSoc,FALSE)</f>
        <v>1 1 0</v>
      </c>
      <c r="S35" s="611" t="str">
        <f>VLOOKUP($B35,ShoulderStats,lookSet,FALSE)</f>
        <v>Wastewalker</v>
      </c>
      <c r="U35" s="1437" t="s">
        <v>1115</v>
      </c>
      <c r="V35" s="1449"/>
      <c r="W35" s="1449"/>
      <c r="X35" s="1104" t="b">
        <f>AND($Y$44,COUNTIF($S$10:$S$71,"Wastewalker")&gt;=4)</f>
        <v>0</v>
      </c>
      <c r="Y35" s="23">
        <f>IF(X35,160*Optimize!C58,0)</f>
        <v>0</v>
      </c>
      <c r="AA35" s="26"/>
      <c r="AB35" s="224"/>
      <c r="AC35" s="223"/>
      <c r="AD35" s="1335"/>
      <c r="AE35" s="122"/>
      <c r="AF35" s="1338">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6" t="s">
        <v>1017</v>
      </c>
      <c r="C36" s="1304"/>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1"/>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3" t="b">
        <f>AND($Y$44,COUNTIF($S$10:$S$71,"Slayer")&gt;=2)</f>
        <v>0</v>
      </c>
      <c r="Y36" s="44">
        <f>IF(Slayer2,1.35,1.3)</f>
        <v>1.3</v>
      </c>
      <c r="AA36" s="26"/>
      <c r="AB36" s="224"/>
      <c r="AC36" s="223"/>
      <c r="AD36" s="1335"/>
      <c r="AE36" s="122"/>
      <c r="AF36" s="1338">
        <f>$D36*dpsStr+$E36*dpsAgi+$G36*dpsCrit+$H36*dpsHit+$I36*dpsAP+$L36*dpsExp+$P36*dpsHaste+$Q36*dpsArmor</f>
        <v>18.891728949367007</v>
      </c>
    </row>
    <row r="37" spans="1:32">
      <c r="A37" s="600" t="str">
        <f>IF(AC15,"+"&amp;MID(AD15,4,2)&amp;" "&amp;MID(AD15,1,2),MID($R$35,1,1)&amp;" Red "&amp;MID($R$35,3,1)&amp;" Blue "&amp;MID($R$35,5,1)&amp;" Yellow")</f>
        <v>1 Red 1 Blue 0 Yellow</v>
      </c>
      <c r="B37" s="595" t="s">
        <v>1982</v>
      </c>
      <c r="C37" s="1305" t="b">
        <f>MID($R$35,1,1)+MID($R$35,3,1)+MID(R$35,5,1)&gt;=1</f>
        <v>1</v>
      </c>
      <c r="D37" s="596">
        <f>IF($C37,VLOOKUP($B37,GenSocketStats,lookStr,FALSE),0)</f>
        <v>0</v>
      </c>
      <c r="E37" s="596">
        <f>IF($C37,VLOOKUP($B37,GenSocketStats,lookAgi,FALSE),0)</f>
        <v>0</v>
      </c>
      <c r="F37" s="596">
        <f>IF($C37,VLOOKUP($B37,GenSocketStats,lookSta,FALSE),0)</f>
        <v>0</v>
      </c>
      <c r="G37" s="597">
        <f>IF($C37,VLOOKUP($B37,GenSocketStats,lookCrit,FALSE),0)</f>
        <v>0</v>
      </c>
      <c r="H37" s="597">
        <f>IF($C37,VLOOKUP($B37,GenSocketStats,lookHit,FALSE),0)</f>
        <v>8</v>
      </c>
      <c r="I37" s="596">
        <f>IF($C37,VLOOKUP($B37,GenSocketStats,lookAP,FALSE),0)</f>
        <v>0</v>
      </c>
      <c r="J37" s="596">
        <f>IF($C37,VLOOKUP($B37,GenSocketStats,lookRes,FALSE),0)</f>
        <v>0</v>
      </c>
      <c r="K37" s="597">
        <f>IF($C37,VLOOKUP($B37,GenSocketStats,lookDod,FALSE),0)</f>
        <v>0</v>
      </c>
      <c r="L37" s="596">
        <f>IF($C37,VLOOKUP($B37,GenSocketStats,lookExp,FALSE),0)</f>
        <v>0</v>
      </c>
      <c r="M37" s="596"/>
      <c r="N37" s="601"/>
      <c r="O37" s="596"/>
      <c r="P37" s="596">
        <f>IF($C37,VLOOKUP($B37,GenSocketStats,lookHaste,FALSE),0)</f>
        <v>0</v>
      </c>
      <c r="Q37" s="596">
        <f>IF($C37,VLOOKUP($B37,GenSocketStats,lookArmor,FALSE),0)</f>
        <v>0</v>
      </c>
      <c r="R37" s="596" t="str">
        <f>IF($C37,VLOOKUP($B37,GenSocketStats,lookSoc,FALSE),0)</f>
        <v>0 0 1</v>
      </c>
      <c r="S37" s="598">
        <f>IF($C37,VLOOKUP($B37,GenSocketStats,lookSet,FALSE),0)</f>
        <v>0</v>
      </c>
      <c r="U37" s="1443" t="s">
        <v>1121</v>
      </c>
      <c r="V37" s="1448"/>
      <c r="W37" s="1448"/>
      <c r="X37" s="1103" t="b">
        <f>AND($Y$44,COUNTIF($S$10:$S$71,"Slayer")&gt;=4)</f>
        <v>0</v>
      </c>
      <c r="Y37" s="23">
        <f>IF(Slayer4=TRUE,1.06,1)</f>
        <v>1</v>
      </c>
      <c r="AA37" s="26"/>
      <c r="AB37" s="224"/>
      <c r="AC37" s="224"/>
      <c r="AD37" s="1335"/>
      <c r="AE37" s="122"/>
      <c r="AF37" s="1338"/>
    </row>
    <row r="38" spans="1:32">
      <c r="A38" s="189"/>
      <c r="B38" s="595" t="s">
        <v>1982</v>
      </c>
      <c r="C38" s="1305" t="b">
        <f>MID($R$35,1,1)+MID($R$35,3,1)+MID(R$35,5,1)&gt;=2</f>
        <v>1</v>
      </c>
      <c r="D38" s="596">
        <f>IF($C38,VLOOKUP($B38,GenSocketStats,lookStr,FALSE),0)</f>
        <v>0</v>
      </c>
      <c r="E38" s="596">
        <f>IF($C38,VLOOKUP($B38,GenSocketStats,lookAgi,FALSE),0)</f>
        <v>0</v>
      </c>
      <c r="F38" s="596">
        <f>IF($C38,VLOOKUP($B38,GenSocketStats,lookSta,FALSE),0)</f>
        <v>0</v>
      </c>
      <c r="G38" s="597">
        <f>IF($C38,VLOOKUP($B38,GenSocketStats,lookCrit,FALSE),0)</f>
        <v>0</v>
      </c>
      <c r="H38" s="597">
        <f>IF($C38,VLOOKUP($B38,GenSocketStats,lookHit,FALSE),0)</f>
        <v>8</v>
      </c>
      <c r="I38" s="596">
        <f>IF($C38,VLOOKUP($B38,GenSocketStats,lookAP,FALSE),0)</f>
        <v>0</v>
      </c>
      <c r="J38" s="596">
        <f>IF($C38,VLOOKUP($B38,GenSocketStats,lookRes,FALSE),0)</f>
        <v>0</v>
      </c>
      <c r="K38" s="597">
        <f>IF($C38,VLOOKUP($B38,GenSocketStats,lookDod,FALSE),0)</f>
        <v>0</v>
      </c>
      <c r="L38" s="596">
        <f>IF($C38,VLOOKUP($B38,GenSocketStats,lookExp,FALSE),0)</f>
        <v>0</v>
      </c>
      <c r="M38" s="596"/>
      <c r="N38" s="601"/>
      <c r="O38" s="596"/>
      <c r="P38" s="596">
        <f>IF($C38,VLOOKUP($B38,GenSocketStats,lookHaste,FALSE),0)</f>
        <v>0</v>
      </c>
      <c r="Q38" s="596">
        <f>IF($C38,VLOOKUP($B38,GenSocketStats,lookArmor,FALSE),0)</f>
        <v>0</v>
      </c>
      <c r="R38" s="596" t="str">
        <f>IF($C38,VLOOKUP($B38,GenSocketStats,lookSoc,FALSE),0)</f>
        <v>0 0 1</v>
      </c>
      <c r="S38" s="598">
        <f>IF($C38,VLOOKUP($B38,GenSocketStats,lookSet,FALSE),0)</f>
        <v>0</v>
      </c>
      <c r="U38" s="1437" t="s">
        <v>1122</v>
      </c>
      <c r="V38" s="1438"/>
      <c r="W38" s="1438"/>
      <c r="X38" s="1104" t="b">
        <f>AND($Y$44,COUNTIF($S$10:$S$71,"Twinblade")&gt;=2)</f>
        <v>0</v>
      </c>
      <c r="Y38" s="44"/>
      <c r="Z38" s="201"/>
      <c r="AB38" s="224"/>
      <c r="AC38" s="224"/>
      <c r="AD38" s="1335"/>
      <c r="AE38" s="122"/>
      <c r="AF38" s="1338"/>
    </row>
    <row r="39" spans="1:32" ht="13.5" thickBot="1">
      <c r="A39" s="608" t="s">
        <v>1116</v>
      </c>
      <c r="B39" s="613" t="s">
        <v>1117</v>
      </c>
      <c r="C39" s="1150" t="str">
        <f>VLOOKUP($B39,BackStats,lookSource,FALSE)</f>
        <v>Karazhan</v>
      </c>
      <c r="D39" s="609">
        <f>VLOOKUP($B39,BackStats,lookStr,FALSE)</f>
        <v>0</v>
      </c>
      <c r="E39" s="609">
        <f>VLOOKUP($B39,BackStats,lookAgi,FALSE)</f>
        <v>24</v>
      </c>
      <c r="F39" s="609">
        <f>VLOOKUP($B39,BackStats,lookSta,FALSE)</f>
        <v>21</v>
      </c>
      <c r="G39" s="610">
        <f>VLOOKUP($B39,BackStats,lookCrit,FALSE)</f>
        <v>0</v>
      </c>
      <c r="H39" s="610">
        <f>VLOOKUP($B39,BackStats,lookHit,FALSE)</f>
        <v>17</v>
      </c>
      <c r="I39" s="609">
        <f>VLOOKUP($B39,BackStats,lookAP,FALSE)</f>
        <v>34</v>
      </c>
      <c r="J39" s="611">
        <f>VLOOKUP($B39,BackStats,lookRes,FALSE)</f>
        <v>0</v>
      </c>
      <c r="K39" s="610">
        <f>VLOOKUP($B39,BackStats,lookDod,FALSE)</f>
        <v>0</v>
      </c>
      <c r="L39" s="611">
        <f>VLOOKUP($B39,BackStats,lookExp,FALSE)</f>
        <v>0</v>
      </c>
      <c r="M39" s="611">
        <f>VLOOKUP($B39,BackStats,lookDef,FALSE)</f>
        <v>0</v>
      </c>
      <c r="N39" s="1150"/>
      <c r="O39" s="611"/>
      <c r="P39" s="611">
        <f>VLOOKUP($B39,BackStats,lookHaste,FALSE)</f>
        <v>0</v>
      </c>
      <c r="Q39" s="611">
        <f>VLOOKUP($B39,BackStats,lookArmor,FALSE)</f>
        <v>0</v>
      </c>
      <c r="R39" s="611" t="str">
        <f>VLOOKUP($B39,BackStats,lookSoc,FALSE)</f>
        <v>0 0 0</v>
      </c>
      <c r="S39" s="611">
        <f>VLOOKUP($B39,BackStats,lookSet,FALSE)</f>
        <v>0</v>
      </c>
      <c r="U39" s="1441" t="s">
        <v>961</v>
      </c>
      <c r="V39" s="1442"/>
      <c r="W39" s="1442"/>
      <c r="X39" s="1105" t="b">
        <f>AND($Y$44,COUNTIF($S$10:$S$71,"Latro's")&gt;=2)</f>
        <v>0</v>
      </c>
      <c r="AB39" s="224"/>
      <c r="AC39" s="224"/>
      <c r="AD39" s="1335"/>
      <c r="AE39" s="122"/>
      <c r="AF39" s="1338">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5" t="s">
        <v>1120</v>
      </c>
      <c r="C40" s="1304"/>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1"/>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5"/>
      <c r="AE40" s="122"/>
      <c r="AF40" s="1338">
        <f>$D40*dpsStr+$E40*dpsAgi+$G40*dpsCrit+$H40*dpsHit+$I40*dpsAP+$L40*dpsExp+$P40*dpsHaste+$Q40*dpsArmor</f>
        <v>9.9265544320196568</v>
      </c>
    </row>
    <row r="41" spans="1:32">
      <c r="A41" s="600" t="str">
        <f>IF(AC22,"+"&amp;MID(AD22,4,2)&amp;" "&amp;MID(AD22,1,2),MID($R$39,1,1)&amp;" Red "&amp;MID($R$39,3,1)&amp;" Blue "&amp;MID($R$39,5,1)&amp;" Yellow")</f>
        <v>0 Red 0 Blue 0 Yellow</v>
      </c>
      <c r="B41" s="595" t="s">
        <v>303</v>
      </c>
      <c r="C41" s="1305" t="b">
        <f>MID($R$39,1,1)+MID($R$39,3,1)+MID(R$39,5,1)&gt;=1</f>
        <v>0</v>
      </c>
      <c r="D41" s="596">
        <f>IF($C41,VLOOKUP($B41,GenSocketStats,lookStr,FALSE),0)</f>
        <v>0</v>
      </c>
      <c r="E41" s="596">
        <f>IF($C41,VLOOKUP($B41,GenSocketStats,lookAgi,FALSE),0)</f>
        <v>0</v>
      </c>
      <c r="F41" s="596">
        <f>IF($C41,VLOOKUP($B41,GenSocketStats,lookSta,FALSE),0)</f>
        <v>0</v>
      </c>
      <c r="G41" s="597">
        <f>IF($C41,VLOOKUP($B41,GenSocketStats,lookCrit,FALSE),0)</f>
        <v>0</v>
      </c>
      <c r="H41" s="597">
        <f>IF($C41,VLOOKUP($B41,GenSocketStats,lookHit,FALSE),0)</f>
        <v>0</v>
      </c>
      <c r="I41" s="596">
        <f>IF($C41,VLOOKUP($B41,GenSocketStats,lookAP,FALSE),0)</f>
        <v>0</v>
      </c>
      <c r="J41" s="596">
        <f>IF($C41,VLOOKUP($B41,GenSocketStats,lookRes,FALSE),0)</f>
        <v>0</v>
      </c>
      <c r="K41" s="597">
        <f>IF($C41,VLOOKUP($B41,GenSocketStats,lookDod,FALSE),0)</f>
        <v>0</v>
      </c>
      <c r="L41" s="596">
        <f>IF($C41,VLOOKUP($B41,GenSocketStats,lookExp,FALSE),0)</f>
        <v>0</v>
      </c>
      <c r="M41" s="596"/>
      <c r="N41" s="601"/>
      <c r="O41" s="596"/>
      <c r="P41" s="596">
        <f>IF($C41,VLOOKUP($B41,GenSocketStats,lookHaste,FALSE),0)</f>
        <v>0</v>
      </c>
      <c r="Q41" s="596">
        <f>IF($C41,VLOOKUP($B41,GenSocketStats,lookArmor,FALSE),0)</f>
        <v>0</v>
      </c>
      <c r="R41" s="596">
        <f>IF($C41,VLOOKUP($B41,GenSocketStats,lookSoc,FALSE),0)</f>
        <v>0</v>
      </c>
      <c r="S41" s="598">
        <f>IF($C41,VLOOKUP($B41,GenSocketStats,lookSet,FALSE),0)</f>
        <v>0</v>
      </c>
      <c r="U41" s="186"/>
      <c r="V41" s="187"/>
      <c r="W41" s="196" t="s">
        <v>3082</v>
      </c>
      <c r="X41" s="187"/>
      <c r="Y41" s="187"/>
      <c r="Z41" s="187"/>
      <c r="AA41" s="187"/>
      <c r="AB41" s="225"/>
      <c r="AC41" s="226"/>
      <c r="AD41" s="1337"/>
      <c r="AE41" s="122"/>
      <c r="AF41" s="1338"/>
    </row>
    <row r="42" spans="1:32">
      <c r="A42" s="608" t="s">
        <v>1123</v>
      </c>
      <c r="B42" s="614" t="s">
        <v>821</v>
      </c>
      <c r="C42" s="1150" t="str">
        <f>VLOOKUP($B42,ChestStats,lookSource,FALSE)</f>
        <v>Magtheridon</v>
      </c>
      <c r="D42" s="609">
        <f>VLOOKUP($B42,ChestStats,lookStr,FALSE)</f>
        <v>0</v>
      </c>
      <c r="E42" s="609">
        <f>VLOOKUP($B42,ChestStats,lookAgi,FALSE)</f>
        <v>35</v>
      </c>
      <c r="F42" s="609">
        <f>VLOOKUP($B42,ChestStats,lookSta,FALSE)</f>
        <v>39</v>
      </c>
      <c r="G42" s="610">
        <f>VLOOKUP($B42,ChestStats,lookCrit,FALSE)</f>
        <v>0</v>
      </c>
      <c r="H42" s="610">
        <f>VLOOKUP($B42,ChestStats,lookHit,FALSE)</f>
        <v>11</v>
      </c>
      <c r="I42" s="609">
        <f>VLOOKUP($B42,ChestStats,lookAP,FALSE)</f>
        <v>74</v>
      </c>
      <c r="J42" s="611">
        <f>VLOOKUP($B42,ChestStats,lookRes,FALSE)</f>
        <v>0</v>
      </c>
      <c r="K42" s="610">
        <f>VLOOKUP($B42,ChestStats,lookDod,FALSE)</f>
        <v>0</v>
      </c>
      <c r="L42" s="611">
        <f>VLOOKUP($B42,ChestStats,lookExp,FALSE)</f>
        <v>0</v>
      </c>
      <c r="M42" s="611">
        <f>VLOOKUP($B42,ChestStats,lookDef,FALSE)</f>
        <v>0</v>
      </c>
      <c r="N42" s="1150"/>
      <c r="O42" s="611"/>
      <c r="P42" s="611">
        <f>VLOOKUP($B42,ChestStats,lookHaste,FALSE)</f>
        <v>0</v>
      </c>
      <c r="Q42" s="611">
        <f>VLOOKUP($B42,ChestStats,lookArmor,FALSE)</f>
        <v>0</v>
      </c>
      <c r="R42" s="611" t="str">
        <f>VLOOKUP($B42,ChestStats,lookSoc,FALSE)</f>
        <v>1 1 1</v>
      </c>
      <c r="S42" s="611" t="str">
        <f>VLOOKUP($B42,ChestStats,lookSet,FALSE)</f>
        <v>Netherblade</v>
      </c>
      <c r="U42" s="1137">
        <v>0</v>
      </c>
      <c r="V42" s="64" t="s">
        <v>3111</v>
      </c>
      <c r="W42" s="189"/>
      <c r="X42" s="189"/>
      <c r="Y42" s="671"/>
      <c r="Z42" s="671"/>
      <c r="AA42" s="671"/>
      <c r="AB42" s="227"/>
      <c r="AC42" s="373"/>
      <c r="AD42" s="1337"/>
      <c r="AE42" s="122"/>
      <c r="AF42" s="1338">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5" t="s">
        <v>1267</v>
      </c>
      <c r="C43" s="1304"/>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1"/>
      <c r="O43" s="39"/>
      <c r="P43" s="39">
        <f>VLOOKUP($B43,ChestEnchantStats,lookHaste,FALSE)</f>
        <v>0</v>
      </c>
      <c r="Q43" s="39">
        <f>VLOOKUP($B43,ChestEnchantStats,lookArmor,FALSE)</f>
        <v>0</v>
      </c>
      <c r="R43" s="39">
        <f>VLOOKUP($B43,ChestEnchantStats,lookSoc,FALSE)</f>
        <v>0</v>
      </c>
      <c r="S43" s="39">
        <f>VLOOKUP($B43,ChestEnchantStats,lookSet,FALSE)</f>
        <v>0</v>
      </c>
      <c r="U43" s="1126"/>
      <c r="V43" s="64" t="s">
        <v>3242</v>
      </c>
      <c r="W43" s="189"/>
      <c r="X43" s="189"/>
      <c r="Y43" s="189" t="b">
        <v>1</v>
      </c>
      <c r="Z43" s="189"/>
      <c r="AA43" s="189"/>
      <c r="AB43" s="227"/>
      <c r="AC43" s="228"/>
      <c r="AD43" s="1337"/>
      <c r="AE43" s="122"/>
      <c r="AF43" s="1338">
        <f>$D43*dpsStr+$E43*dpsAgi+$G43*dpsCrit+$H43*dpsHit+$I43*dpsAP+$L43*dpsExp+$P43*dpsHaste+$Q43*dpsArmor</f>
        <v>7.3216553866573122</v>
      </c>
    </row>
    <row r="44" spans="1:32">
      <c r="A44" s="600" t="str">
        <f>IF(AC16,"+"&amp;MID(AD16,4,2)&amp;" "&amp;MID(AD16,1,2),MID($R$42,1,1)&amp;" Red "&amp;MID($R$42,3,1)&amp;" Blue "&amp;MID($R$42,5,1)&amp;" Yellow")</f>
        <v>+4 ag</v>
      </c>
      <c r="B44" s="601" t="s">
        <v>1982</v>
      </c>
      <c r="C44" s="1305" t="b">
        <f>MID($R$42,1,1)+MID($R$42,3,1)+MID(R$42,5,1)&gt;=1</f>
        <v>1</v>
      </c>
      <c r="D44" s="596">
        <f>IF($C44,VLOOKUP($B44,GenSocketStats,lookStr,FALSE),0)</f>
        <v>0</v>
      </c>
      <c r="E44" s="596">
        <f>IF($C44,VLOOKUP($B44,GenSocketStats,lookAgi,FALSE),0)</f>
        <v>0</v>
      </c>
      <c r="F44" s="596">
        <f>IF($C44,VLOOKUP($B44,GenSocketStats,lookSta,FALSE),0)</f>
        <v>0</v>
      </c>
      <c r="G44" s="597">
        <f>IF($C44,VLOOKUP($B44,GenSocketStats,lookCrit,FALSE),0)</f>
        <v>0</v>
      </c>
      <c r="H44" s="597">
        <f>IF($C44,VLOOKUP($B44,GenSocketStats,lookHit,FALSE),0)</f>
        <v>8</v>
      </c>
      <c r="I44" s="596">
        <f>IF($C44,VLOOKUP($B44,GenSocketStats,lookAP,FALSE),0)</f>
        <v>0</v>
      </c>
      <c r="J44" s="596">
        <f>IF($C44,VLOOKUP($B44,GenSocketStats,lookRes,FALSE),0)</f>
        <v>0</v>
      </c>
      <c r="K44" s="597">
        <f>IF($C44,VLOOKUP($B44,GenSocketStats,lookDod,FALSE),0)</f>
        <v>0</v>
      </c>
      <c r="L44" s="596">
        <f>IF($C44,VLOOKUP($B44,GenSocketStats,lookExp,FALSE),0)</f>
        <v>0</v>
      </c>
      <c r="M44" s="596"/>
      <c r="N44" s="601"/>
      <c r="O44" s="596"/>
      <c r="P44" s="596">
        <f>IF($C44,VLOOKUP($B44,GenSocketStats,lookHaste,FALSE),0)</f>
        <v>0</v>
      </c>
      <c r="Q44" s="596">
        <f>IF($C44,VLOOKUP($B44,GenSocketStats,lookArmor,FALSE),0)</f>
        <v>0</v>
      </c>
      <c r="R44" s="596" t="str">
        <f>IF($C44,VLOOKUP($B44,GenSocketStats,lookSoc,FALSE),0)</f>
        <v>0 0 1</v>
      </c>
      <c r="S44" s="598">
        <f>IF($C44,VLOOKUP($B44,GenSocketStats,lookSet,FALSE),0)</f>
        <v>0</v>
      </c>
      <c r="U44" s="1126"/>
      <c r="V44" s="64" t="s">
        <v>3113</v>
      </c>
      <c r="W44" s="189"/>
      <c r="X44" s="189"/>
      <c r="Y44" s="189" t="b">
        <v>1</v>
      </c>
      <c r="Z44" s="1121"/>
      <c r="AA44" s="64" t="s">
        <v>3112</v>
      </c>
      <c r="AB44" s="227"/>
      <c r="AC44" s="228" t="b">
        <v>1</v>
      </c>
      <c r="AD44" s="1337"/>
      <c r="AE44" s="122"/>
      <c r="AF44" s="1338"/>
    </row>
    <row r="45" spans="1:32">
      <c r="A45" s="189"/>
      <c r="B45" s="601" t="s">
        <v>1978</v>
      </c>
      <c r="C45" s="1305" t="b">
        <f>MID($R$42,1,1)+MID($R$42,3,1)+MID(R$42,5,1)&gt;=2</f>
        <v>1</v>
      </c>
      <c r="D45" s="596">
        <f>IF($C45,VLOOKUP($B45,GenSocketStats,lookStr,FALSE),0)</f>
        <v>0</v>
      </c>
      <c r="E45" s="596">
        <f>IF($C45,VLOOKUP($B45,GenSocketStats,lookAgi,FALSE),0)</f>
        <v>4</v>
      </c>
      <c r="F45" s="596">
        <f>IF($C45,VLOOKUP($B45,GenSocketStats,lookSta,FALSE),0)</f>
        <v>6</v>
      </c>
      <c r="G45" s="597">
        <f>IF($C45,VLOOKUP($B45,GenSocketStats,lookCrit,FALSE),0)</f>
        <v>0</v>
      </c>
      <c r="H45" s="597">
        <f>IF($C45,VLOOKUP($B45,GenSocketStats,lookHit,FALSE),0)</f>
        <v>0</v>
      </c>
      <c r="I45" s="596">
        <f>IF($C45,VLOOKUP($B45,GenSocketStats,lookAP,FALSE),0)</f>
        <v>0</v>
      </c>
      <c r="J45" s="596">
        <f>IF($C45,VLOOKUP($B45,GenSocketStats,lookRes,FALSE),0)</f>
        <v>0</v>
      </c>
      <c r="K45" s="597">
        <f>IF($C45,VLOOKUP($B45,GenSocketStats,lookDod,FALSE),0)</f>
        <v>0</v>
      </c>
      <c r="L45" s="596">
        <f>IF($C45,VLOOKUP($B45,GenSocketStats,lookExp,FALSE),0)</f>
        <v>0</v>
      </c>
      <c r="M45" s="596"/>
      <c r="N45" s="601"/>
      <c r="O45" s="596"/>
      <c r="P45" s="596">
        <f>IF($C45,VLOOKUP($B45,GenSocketStats,lookHaste,FALSE),0)</f>
        <v>0</v>
      </c>
      <c r="Q45" s="596">
        <f>IF($C45,VLOOKUP($B45,GenSocketStats,lookArmor,FALSE),0)</f>
        <v>0</v>
      </c>
      <c r="R45" s="596" t="str">
        <f>IF($C45,VLOOKUP($B45,GenSocketStats,lookSoc,FALSE),0)</f>
        <v>1 1 0</v>
      </c>
      <c r="S45" s="598">
        <f>IF($C45,VLOOKUP($B45,GenSocketStats,lookSet,FALSE),0)</f>
        <v>0</v>
      </c>
      <c r="U45" s="188"/>
      <c r="V45" s="189"/>
      <c r="W45" s="189"/>
      <c r="X45" s="189"/>
      <c r="Y45" s="189"/>
      <c r="Z45" s="189"/>
      <c r="AA45" s="189"/>
      <c r="AB45" s="227"/>
      <c r="AC45" s="228"/>
      <c r="AD45" s="1337"/>
      <c r="AE45" s="122"/>
      <c r="AF45" s="1338"/>
    </row>
    <row r="46" spans="1:32">
      <c r="A46" s="189"/>
      <c r="B46" s="601" t="s">
        <v>303</v>
      </c>
      <c r="C46" s="1305" t="b">
        <f>MID($R$42,1,1)+MID($R$42,3,1)+MID(R$42,5,1)&gt;=3</f>
        <v>1</v>
      </c>
      <c r="D46" s="596">
        <f>IF($C46,VLOOKUP($B46,GenSocketStats,lookStr,FALSE),0)</f>
        <v>0</v>
      </c>
      <c r="E46" s="596">
        <f>IF($C46,VLOOKUP($B46,GenSocketStats,lookAgi,FALSE),0)</f>
        <v>4</v>
      </c>
      <c r="F46" s="596">
        <f>IF($C46,VLOOKUP($B46,GenSocketStats,lookSta,FALSE),0)</f>
        <v>0</v>
      </c>
      <c r="G46" s="597">
        <f>IF($C46,VLOOKUP($B46,GenSocketStats,lookCrit,FALSE),0)</f>
        <v>0</v>
      </c>
      <c r="H46" s="597">
        <f>IF($C46,VLOOKUP($B46,GenSocketStats,lookHit,FALSE),0)</f>
        <v>4</v>
      </c>
      <c r="I46" s="596">
        <f>IF($C46,VLOOKUP($B46,GenSocketStats,lookAP,FALSE),0)</f>
        <v>0</v>
      </c>
      <c r="J46" s="596">
        <f>IF($C46,VLOOKUP($B46,GenSocketStats,lookRes,FALSE),0)</f>
        <v>0</v>
      </c>
      <c r="K46" s="597">
        <f>IF($C46,VLOOKUP($B46,GenSocketStats,lookDod,FALSE),0)</f>
        <v>0</v>
      </c>
      <c r="L46" s="596">
        <f>IF($C46,VLOOKUP($B46,GenSocketStats,lookExp,FALSE),0)</f>
        <v>0</v>
      </c>
      <c r="M46" s="596"/>
      <c r="N46" s="601"/>
      <c r="O46" s="596"/>
      <c r="P46" s="596">
        <f>IF($C46,VLOOKUP($B46,GenSocketStats,lookHaste,FALSE),0)</f>
        <v>0</v>
      </c>
      <c r="Q46" s="596">
        <f>IF($C46,VLOOKUP($B46,GenSocketStats,lookArmor,FALSE),0)</f>
        <v>0</v>
      </c>
      <c r="R46" s="596" t="str">
        <f>IF($C46,VLOOKUP($B46,GenSocketStats,lookSoc,FALSE),0)</f>
        <v>1 0 1</v>
      </c>
      <c r="S46" s="598">
        <f>IF($C46,VLOOKUP($B46,GenSocketStats,lookSet,FALSE),0)</f>
        <v>0</v>
      </c>
      <c r="U46" s="188"/>
      <c r="V46" s="189"/>
      <c r="W46" s="195" t="s">
        <v>1686</v>
      </c>
      <c r="X46" s="189"/>
      <c r="Y46" s="189"/>
      <c r="Z46" s="189"/>
      <c r="AA46" s="189"/>
      <c r="AB46" s="227"/>
      <c r="AC46" s="228"/>
      <c r="AD46" s="1337"/>
      <c r="AE46" s="122"/>
      <c r="AF46" s="1338"/>
    </row>
    <row r="47" spans="1:32">
      <c r="A47" s="608" t="s">
        <v>1268</v>
      </c>
      <c r="B47" s="614" t="s">
        <v>1300</v>
      </c>
      <c r="C47" s="1150" t="str">
        <f>VLOOKUP($B47,BracersStats,lookSource,FALSE)</f>
        <v>Quest</v>
      </c>
      <c r="D47" s="609">
        <f>VLOOKUP($B47,BracersStats,lookStr,FALSE)</f>
        <v>0</v>
      </c>
      <c r="E47" s="609">
        <f>VLOOKUP($B47,BracersStats,lookAgi,FALSE)</f>
        <v>18</v>
      </c>
      <c r="F47" s="609">
        <f>VLOOKUP($B47,BracersStats,lookSta,FALSE)</f>
        <v>15</v>
      </c>
      <c r="G47" s="610">
        <f>VLOOKUP($B47,BracersStats,lookCrit,FALSE)</f>
        <v>0</v>
      </c>
      <c r="H47" s="610">
        <f>VLOOKUP($B47,BracersStats,lookHit,FALSE)</f>
        <v>15</v>
      </c>
      <c r="I47" s="609">
        <f>VLOOKUP($B47,BracersStats,lookAP,FALSE)</f>
        <v>0</v>
      </c>
      <c r="J47" s="611">
        <f>VLOOKUP($B47,BracersStats,lookRes,FALSE)</f>
        <v>0</v>
      </c>
      <c r="K47" s="610">
        <f>VLOOKUP($B47,BracersStats,lookDod,FALSE)</f>
        <v>0</v>
      </c>
      <c r="L47" s="611">
        <f>VLOOKUP($B47,BracersStats,lookExp,FALSE)</f>
        <v>0</v>
      </c>
      <c r="M47" s="611">
        <f>VLOOKUP($B47,BracersStats,lookDef,FALSE)</f>
        <v>0</v>
      </c>
      <c r="N47" s="1150"/>
      <c r="O47" s="611"/>
      <c r="P47" s="611">
        <f>VLOOKUP($B47,BracersStats,lookHaste,FALSE)</f>
        <v>0</v>
      </c>
      <c r="Q47" s="611">
        <f>VLOOKUP($B47,BracersStats,lookArmor,FALSE)</f>
        <v>0</v>
      </c>
      <c r="R47" s="611" t="str">
        <f>VLOOKUP($B47,BracersStats,lookSoc,FALSE)</f>
        <v>1 0 0</v>
      </c>
      <c r="S47" s="611">
        <f>VLOOKUP($B47,BracersStats,lookSet,FALSE)</f>
        <v>0</v>
      </c>
      <c r="U47" s="194"/>
      <c r="V47" s="191" t="s">
        <v>1689</v>
      </c>
      <c r="W47" s="189"/>
      <c r="X47" s="189"/>
      <c r="Y47" s="1138" t="s">
        <v>2300</v>
      </c>
      <c r="Z47" s="189"/>
      <c r="AA47" s="189"/>
      <c r="AB47" s="227"/>
      <c r="AC47" s="228"/>
      <c r="AD47" s="1337"/>
      <c r="AE47" s="122"/>
      <c r="AF47" s="1338">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5" t="s">
        <v>1270</v>
      </c>
      <c r="C48" s="1304"/>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1"/>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38" t="s">
        <v>2300</v>
      </c>
      <c r="Z48" s="189"/>
      <c r="AA48" s="189"/>
      <c r="AB48" s="227"/>
      <c r="AC48" s="228"/>
      <c r="AD48" s="1337"/>
      <c r="AE48" s="122"/>
      <c r="AF48" s="1338">
        <f>$D48*dpsStr+$E48*dpsAgi+$G48*dpsCrit+$H48*dpsHit+$I48*dpsAP+$L48*dpsExp+$P48*dpsHaste+$Q48*dpsArmor</f>
        <v>8.5759206205239025</v>
      </c>
    </row>
    <row r="49" spans="1:32">
      <c r="A49" s="600" t="str">
        <f>IF(AC17,"+"&amp;MID(AD17,4,2)&amp;" "&amp;MID(AD17,1,2),MID($R$47,1,1)&amp;" Red "&amp;MID($R$47,3,1)&amp;" Blue "&amp;MID($R$47,5,1)&amp;" Yellow")</f>
        <v>1 Red 0 Blue 0 Yellow</v>
      </c>
      <c r="B49" s="595" t="s">
        <v>1982</v>
      </c>
      <c r="C49" s="1305" t="b">
        <f>MID($R$47,1,1)+MID($R$47,3,1)+MID(R$47,5,1)&gt;=1</f>
        <v>1</v>
      </c>
      <c r="D49" s="596">
        <f>IF($C49,VLOOKUP($B49,GenSocketStats,lookStr,FALSE),0)</f>
        <v>0</v>
      </c>
      <c r="E49" s="596">
        <f>IF($C49,VLOOKUP($B49,GenSocketStats,lookAgi,FALSE),0)</f>
        <v>0</v>
      </c>
      <c r="F49" s="596">
        <f>IF($C49,VLOOKUP($B49,GenSocketStats,lookSta,FALSE),0)</f>
        <v>0</v>
      </c>
      <c r="G49" s="597">
        <f>IF($C49,VLOOKUP($B49,GenSocketStats,lookCrit,FALSE),0)</f>
        <v>0</v>
      </c>
      <c r="H49" s="597">
        <f>IF($C49,VLOOKUP($B49,GenSocketStats,lookHit,FALSE),0)</f>
        <v>8</v>
      </c>
      <c r="I49" s="596">
        <f>IF($C49,VLOOKUP($B49,GenSocketStats,lookAP,FALSE),0)</f>
        <v>0</v>
      </c>
      <c r="J49" s="596">
        <f>IF($C49,VLOOKUP($B49,GenSocketStats,lookRes,FALSE),0)</f>
        <v>0</v>
      </c>
      <c r="K49" s="597">
        <f>IF($C49,VLOOKUP($B49,GenSocketStats,lookDod,FALSE),0)</f>
        <v>0</v>
      </c>
      <c r="L49" s="596">
        <f>IF($C49,VLOOKUP($B49,GenSocketStats,lookExp,FALSE),0)</f>
        <v>0</v>
      </c>
      <c r="M49" s="596"/>
      <c r="N49" s="601"/>
      <c r="O49" s="596"/>
      <c r="P49" s="596">
        <f>IF($C49,VLOOKUP($B49,GenSocketStats,lookHaste,FALSE),0)</f>
        <v>0</v>
      </c>
      <c r="Q49" s="596">
        <f>IF($C49,VLOOKUP($B49,GenSocketStats,lookArmor,FALSE),0)</f>
        <v>0</v>
      </c>
      <c r="R49" s="596" t="str">
        <f>IF($C49,VLOOKUP($B49,GenSocketStats,lookSoc,FALSE),0)</f>
        <v>0 0 1</v>
      </c>
      <c r="S49" s="598">
        <f>IF($C49,VLOOKUP($B49,GenSocketStats,lookSet,FALSE),0)</f>
        <v>0</v>
      </c>
      <c r="U49" s="188"/>
      <c r="V49" s="189"/>
      <c r="W49" s="189"/>
      <c r="X49" s="189"/>
      <c r="Y49" s="189"/>
      <c r="Z49" s="189"/>
      <c r="AA49" s="189"/>
      <c r="AB49" s="189"/>
      <c r="AC49" s="190"/>
      <c r="AD49" s="1337"/>
      <c r="AE49" s="122"/>
      <c r="AF49" s="1338"/>
    </row>
    <row r="50" spans="1:32">
      <c r="A50" s="608" t="s">
        <v>2074</v>
      </c>
      <c r="B50" s="614" t="s">
        <v>17</v>
      </c>
      <c r="C50" s="1150" t="str">
        <f>VLOOKUP($B50,GlovesStats,lookSource,FALSE)</f>
        <v>5 Man</v>
      </c>
      <c r="D50" s="609">
        <f>VLOOKUP($B50,GlovesStats,lookStr,FALSE)</f>
        <v>0</v>
      </c>
      <c r="E50" s="609">
        <f>VLOOKUP($B50,GlovesStats,lookAgi,FALSE)</f>
        <v>32</v>
      </c>
      <c r="F50" s="609">
        <f>VLOOKUP($B50,GlovesStats,lookSta,FALSE)</f>
        <v>33</v>
      </c>
      <c r="G50" s="610">
        <f>VLOOKUP($B50,GlovesStats,lookCrit,FALSE)</f>
        <v>0</v>
      </c>
      <c r="H50" s="610">
        <f>VLOOKUP($B50,GlovesStats,lookHit,FALSE)</f>
        <v>0</v>
      </c>
      <c r="I50" s="609">
        <f>VLOOKUP($B50,GlovesStats,lookAP,FALSE)</f>
        <v>16</v>
      </c>
      <c r="J50" s="611">
        <f>VLOOKUP($B50,GlovesStats,lookRes,FALSE)</f>
        <v>0</v>
      </c>
      <c r="K50" s="610">
        <f>VLOOKUP($B50,GlovesStats,lookDod,FALSE)</f>
        <v>0</v>
      </c>
      <c r="L50" s="611">
        <f>VLOOKUP($B50,GlovesStats,lookExp,FALSE)</f>
        <v>0</v>
      </c>
      <c r="M50" s="611">
        <f>VLOOKUP($B50,GlovesStats,lookDef,FALSE)</f>
        <v>0</v>
      </c>
      <c r="N50" s="1150"/>
      <c r="O50" s="611"/>
      <c r="P50" s="611">
        <f>VLOOKUP($B50,GlovesStats,lookHaste,FALSE)</f>
        <v>0</v>
      </c>
      <c r="Q50" s="611">
        <f>VLOOKUP($B50,GlovesStats,lookArmor,FALSE)</f>
        <v>0</v>
      </c>
      <c r="R50" s="611" t="str">
        <f>VLOOKUP($B50,GlovesStats,lookSoc,FALSE)</f>
        <v>1 0 1</v>
      </c>
      <c r="S50" s="611" t="str">
        <f>VLOOKUP($B50,GlovesStats,lookSet,FALSE)</f>
        <v>Wastewalker</v>
      </c>
      <c r="U50" s="188"/>
      <c r="V50" s="191" t="s">
        <v>470</v>
      </c>
      <c r="W50" s="189"/>
      <c r="X50" s="189"/>
      <c r="Y50" s="189"/>
      <c r="Z50" s="1121"/>
      <c r="AA50" s="64" t="s">
        <v>1029</v>
      </c>
      <c r="AB50" s="227"/>
      <c r="AC50" s="228" t="b">
        <v>0</v>
      </c>
      <c r="AD50" s="1337"/>
      <c r="AE50" s="122"/>
      <c r="AF50" s="1338">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5" t="s">
        <v>2076</v>
      </c>
      <c r="C51" s="1304"/>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1"/>
      <c r="O51" s="39"/>
      <c r="P51" s="41">
        <f>VLOOKUP($B51,GloveEnchantStats,lookHaste,FALSE)</f>
        <v>0</v>
      </c>
      <c r="Q51" s="41">
        <f>VLOOKUP($B51,GloveEnchantStats,lookArmor,FALSE)</f>
        <v>0</v>
      </c>
      <c r="R51" s="39">
        <f>VLOOKUP($B51,GloveEnchantStats,lookSoc,FALSE)</f>
        <v>0</v>
      </c>
      <c r="S51" s="39">
        <f>VLOOKUP($B51,GloveEnchantStats,lookSet,FALSE)</f>
        <v>0</v>
      </c>
      <c r="U51" s="1126"/>
      <c r="V51" s="189" t="s">
        <v>465</v>
      </c>
      <c r="W51" s="189"/>
      <c r="X51" s="189"/>
      <c r="Y51" s="64" t="b">
        <v>1</v>
      </c>
      <c r="Z51" s="64" t="s">
        <v>3083</v>
      </c>
      <c r="AA51" s="189"/>
      <c r="AB51" s="227"/>
      <c r="AC51" s="229"/>
      <c r="AD51" s="1337"/>
      <c r="AE51" s="122"/>
      <c r="AF51" s="1338">
        <f>$D51*dpsStr+$E51*dpsAgi+$G51*dpsCrit+$H51*dpsHit+$I51*dpsAP+$L51*dpsExp+$P51*dpsHaste+$Q51*dpsArmor</f>
        <v>12.408193040024571</v>
      </c>
    </row>
    <row r="52" spans="1:32">
      <c r="A52" s="600" t="str">
        <f>IF(AC18,"+"&amp;MID(AD18,4,2)&amp;" "&amp;MID(AD18,1,2),MID($R$50,1,1)&amp;" Red "&amp;MID($R$50,3,1)&amp;" Blue "&amp;MID($R$50,5,1)&amp;" Yellow")</f>
        <v>1 Red 0 Blue 1 Yellow</v>
      </c>
      <c r="B52" s="595" t="s">
        <v>1982</v>
      </c>
      <c r="C52" s="1305" t="b">
        <f>MID($R$50,1,1)+MID($R$50,3,1)+MID(R$50,5,1)&gt;=1</f>
        <v>1</v>
      </c>
      <c r="D52" s="596">
        <f>IF($C52,VLOOKUP($B52,GenSocketStats,lookStr,FALSE),0)</f>
        <v>0</v>
      </c>
      <c r="E52" s="596">
        <f>IF($C52,VLOOKUP($B52,GenSocketStats,lookAgi,FALSE),0)</f>
        <v>0</v>
      </c>
      <c r="F52" s="596">
        <f>IF($C52,VLOOKUP($B52,GenSocketStats,lookSta,FALSE),0)</f>
        <v>0</v>
      </c>
      <c r="G52" s="597">
        <f>IF($C52,VLOOKUP($B52,GenSocketStats,lookCrit,FALSE),0)</f>
        <v>0</v>
      </c>
      <c r="H52" s="597">
        <f>IF($C52,VLOOKUP($B52,GenSocketStats,lookHit,FALSE),0)</f>
        <v>8</v>
      </c>
      <c r="I52" s="596">
        <f>IF($C52,VLOOKUP($B52,GenSocketStats,lookAP,FALSE),0)</f>
        <v>0</v>
      </c>
      <c r="J52" s="596">
        <f>IF($C52,VLOOKUP($B52,GenSocketStats,lookRes,FALSE),0)</f>
        <v>0</v>
      </c>
      <c r="K52" s="597">
        <f>IF($C52,VLOOKUP($B52,GenSocketStats,lookDod,FALSE),0)</f>
        <v>0</v>
      </c>
      <c r="L52" s="596">
        <f>IF($C52,VLOOKUP($B52,GenSocketStats,lookExp,FALSE),0)</f>
        <v>0</v>
      </c>
      <c r="M52" s="596"/>
      <c r="N52" s="601"/>
      <c r="O52" s="596"/>
      <c r="P52" s="596">
        <f>IF($C52,VLOOKUP($B52,GenSocketStats,lookHaste,FALSE),0)</f>
        <v>0</v>
      </c>
      <c r="Q52" s="596">
        <f>IF($C52,VLOOKUP($B52,GenSocketStats,lookArmor,FALSE),0)</f>
        <v>0</v>
      </c>
      <c r="R52" s="596" t="str">
        <f>IF($C52,VLOOKUP($B52,GenSocketStats,lookSoc,FALSE),0)</f>
        <v>0 0 1</v>
      </c>
      <c r="S52" s="598">
        <f>IF($C52,VLOOKUP($B52,GenSocketStats,lookSet,FALSE),0)</f>
        <v>0</v>
      </c>
      <c r="U52" s="1126"/>
      <c r="V52" s="64" t="s">
        <v>1687</v>
      </c>
      <c r="W52" s="189"/>
      <c r="X52" s="189"/>
      <c r="Y52" s="64" t="b">
        <v>1</v>
      </c>
      <c r="Z52" s="197" t="s">
        <v>3084</v>
      </c>
      <c r="AA52" s="189"/>
      <c r="AB52" s="227"/>
      <c r="AC52" s="229"/>
      <c r="AD52" s="1337"/>
      <c r="AE52" s="122"/>
      <c r="AF52" s="1338"/>
    </row>
    <row r="53" spans="1:32">
      <c r="A53" s="189"/>
      <c r="B53" s="595" t="s">
        <v>1982</v>
      </c>
      <c r="C53" s="1305" t="b">
        <f>MID($R$50,1,1)+MID($R$50,3,1)+MID(R$50,5,1)&gt;=2</f>
        <v>1</v>
      </c>
      <c r="D53" s="596">
        <f>IF($C53,VLOOKUP($B53,GenSocketStats,lookStr,FALSE),0)</f>
        <v>0</v>
      </c>
      <c r="E53" s="596">
        <f>IF($C53,VLOOKUP($B53,GenSocketStats,lookAgi,FALSE),0)</f>
        <v>0</v>
      </c>
      <c r="F53" s="596">
        <f>IF($C53,VLOOKUP($B53,GenSocketStats,lookSta,FALSE),0)</f>
        <v>0</v>
      </c>
      <c r="G53" s="597">
        <f>IF($C53,VLOOKUP($B53,GenSocketStats,lookCrit,FALSE),0)</f>
        <v>0</v>
      </c>
      <c r="H53" s="597">
        <f>IF($C53,VLOOKUP($B53,GenSocketStats,lookHit,FALSE),0)</f>
        <v>8</v>
      </c>
      <c r="I53" s="596">
        <f>IF($C53,VLOOKUP($B53,GenSocketStats,lookAP,FALSE),0)</f>
        <v>0</v>
      </c>
      <c r="J53" s="596">
        <f>IF($C53,VLOOKUP($B53,GenSocketStats,lookRes,FALSE),0)</f>
        <v>0</v>
      </c>
      <c r="K53" s="597">
        <f>IF($C53,VLOOKUP($B53,GenSocketStats,lookDod,FALSE),0)</f>
        <v>0</v>
      </c>
      <c r="L53" s="596">
        <f>IF($C53,VLOOKUP($B53,GenSocketStats,lookExp,FALSE),0)</f>
        <v>0</v>
      </c>
      <c r="M53" s="596"/>
      <c r="N53" s="601"/>
      <c r="O53" s="596"/>
      <c r="P53" s="596">
        <f>IF($C53,VLOOKUP($B53,GenSocketStats,lookHaste,FALSE),0)</f>
        <v>0</v>
      </c>
      <c r="Q53" s="596">
        <f>IF($C53,VLOOKUP($B53,GenSocketStats,lookArmor,FALSE),0)</f>
        <v>0</v>
      </c>
      <c r="R53" s="596" t="str">
        <f>IF($C53,VLOOKUP($B53,GenSocketStats,lookSoc,FALSE),0)</f>
        <v>0 0 1</v>
      </c>
      <c r="S53" s="598">
        <f>IF($C53,VLOOKUP($B53,GenSocketStats,lookSet,FALSE),0)</f>
        <v>0</v>
      </c>
      <c r="U53" s="1126"/>
      <c r="V53" s="189" t="s">
        <v>466</v>
      </c>
      <c r="W53" s="189"/>
      <c r="X53" s="189"/>
      <c r="Y53" s="64" t="b">
        <v>1</v>
      </c>
      <c r="Z53" s="189"/>
      <c r="AA53" s="189"/>
      <c r="AB53" s="227"/>
      <c r="AC53" s="229"/>
      <c r="AD53" s="1337"/>
      <c r="AE53" s="122"/>
      <c r="AF53" s="1338"/>
    </row>
    <row r="54" spans="1:32">
      <c r="A54" s="608" t="s">
        <v>2077</v>
      </c>
      <c r="B54" s="613" t="s">
        <v>1531</v>
      </c>
      <c r="C54" s="1150" t="str">
        <f>VLOOKUP($B54,BeltStats,lookSource,FALSE)</f>
        <v>Heroic</v>
      </c>
      <c r="D54" s="609">
        <f>VLOOKUP($B54,BeltStats,lookStr,FALSE)</f>
        <v>0</v>
      </c>
      <c r="E54" s="609">
        <f>VLOOKUP($B54,BeltStats,lookAgi,FALSE)</f>
        <v>28</v>
      </c>
      <c r="F54" s="609">
        <f>VLOOKUP($B54,BeltStats,lookSta,FALSE)</f>
        <v>28</v>
      </c>
      <c r="G54" s="610">
        <f>VLOOKUP($B54,BeltStats,lookCrit,FALSE)</f>
        <v>0</v>
      </c>
      <c r="H54" s="610">
        <f>VLOOKUP($B54,BeltStats,lookHit,FALSE)</f>
        <v>20</v>
      </c>
      <c r="I54" s="609">
        <f>VLOOKUP($B54,BeltStats,lookAP,FALSE)</f>
        <v>56</v>
      </c>
      <c r="J54" s="611">
        <f>VLOOKUP($B54,BeltStats,lookRes,FALSE)</f>
        <v>0</v>
      </c>
      <c r="K54" s="610">
        <f>VLOOKUP($B54,BeltStats,lookDod,FALSE)</f>
        <v>0</v>
      </c>
      <c r="L54" s="611">
        <f>VLOOKUP($B54,BeltStats,lookExp,FALSE)</f>
        <v>0</v>
      </c>
      <c r="M54" s="611">
        <f>VLOOKUP($B54,BeltStats,lookDef,FALSE)</f>
        <v>0</v>
      </c>
      <c r="N54" s="1150"/>
      <c r="O54" s="611"/>
      <c r="P54" s="611">
        <f>VLOOKUP($B54,BeltStats,lookHaste,FALSE)</f>
        <v>0</v>
      </c>
      <c r="Q54" s="611">
        <f>VLOOKUP($B54,BeltStats,lookArmor,FALSE)</f>
        <v>0</v>
      </c>
      <c r="R54" s="611" t="str">
        <f>VLOOKUP($B54,BeltStats,lookSoc,FALSE)</f>
        <v>0 0 0</v>
      </c>
      <c r="S54" s="611">
        <f>VLOOKUP($B54,BeltStats,lookSet,FALSE)</f>
        <v>0</v>
      </c>
      <c r="U54" s="1126"/>
      <c r="V54" s="64" t="s">
        <v>687</v>
      </c>
      <c r="W54" s="189"/>
      <c r="X54" s="189"/>
      <c r="Y54" s="64" t="b">
        <v>1</v>
      </c>
      <c r="Z54" s="189"/>
      <c r="AA54" s="189"/>
      <c r="AB54" s="227"/>
      <c r="AC54" s="229"/>
      <c r="AD54" s="1337"/>
      <c r="AE54" s="122"/>
      <c r="AF54" s="1338">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0" t="str">
        <f>IF(AC19,"+"&amp;MID(AD19,4,2)&amp;" "&amp;MID(AD19,1,2),MID($R$54,1,1)&amp;" Red "&amp;MID($R$54,3,1)&amp;" Blue "&amp;MID($R$54,5,1)&amp;" Yellow")</f>
        <v>0 Red 0 Blue 0 Yellow</v>
      </c>
      <c r="B55" s="595" t="s">
        <v>303</v>
      </c>
      <c r="C55" s="1305" t="b">
        <f>MID($R$54,1,1)+MID($R$54,3,1)+MID(R$54,5,1)&gt;=1</f>
        <v>0</v>
      </c>
      <c r="D55" s="596">
        <f>IF($C55,VLOOKUP($B55,GenSocketStats,lookStr,FALSE),0)</f>
        <v>0</v>
      </c>
      <c r="E55" s="596">
        <f>IF($C55,VLOOKUP($B55,GenSocketStats,lookAgi,FALSE),0)</f>
        <v>0</v>
      </c>
      <c r="F55" s="596">
        <f>IF($C55,VLOOKUP($B55,GenSocketStats,lookSta,FALSE),0)</f>
        <v>0</v>
      </c>
      <c r="G55" s="597">
        <f>IF($C55,VLOOKUP($B55,GenSocketStats,lookCrit,FALSE),0)</f>
        <v>0</v>
      </c>
      <c r="H55" s="597">
        <f>IF($C55,VLOOKUP($B55,GenSocketStats,lookHit,FALSE),0)</f>
        <v>0</v>
      </c>
      <c r="I55" s="596">
        <f>IF($C55,VLOOKUP($B55,GenSocketStats,lookAP,FALSE),0)</f>
        <v>0</v>
      </c>
      <c r="J55" s="596">
        <f>IF($C55,VLOOKUP($B55,GenSocketStats,lookRes,FALSE),0)</f>
        <v>0</v>
      </c>
      <c r="K55" s="597">
        <f>IF($C55,VLOOKUP($B55,GenSocketStats,lookDod,FALSE),0)</f>
        <v>0</v>
      </c>
      <c r="L55" s="596">
        <f>IF($C55,VLOOKUP($B55,GenSocketStats,lookExp,FALSE),0)</f>
        <v>0</v>
      </c>
      <c r="M55" s="596"/>
      <c r="N55" s="601"/>
      <c r="O55" s="596"/>
      <c r="P55" s="596">
        <f>IF($C55,VLOOKUP($B55,GenSocketStats,lookHaste,FALSE),0)</f>
        <v>0</v>
      </c>
      <c r="Q55" s="596">
        <f>IF($C55,VLOOKUP($B55,GenSocketStats,lookArmor,FALSE),0)</f>
        <v>0</v>
      </c>
      <c r="R55" s="596">
        <f>IF($C55,VLOOKUP($B55,GenSocketStats,lookSoc,FALSE),0)</f>
        <v>0</v>
      </c>
      <c r="S55" s="598">
        <f>IF($C55,VLOOKUP($B55,GenSocketStats,lookSet,FALSE),0)</f>
        <v>0</v>
      </c>
      <c r="U55" s="1126"/>
      <c r="V55" s="197" t="s">
        <v>805</v>
      </c>
      <c r="W55" s="189"/>
      <c r="X55" s="189"/>
      <c r="Y55" s="64" t="b">
        <v>1</v>
      </c>
      <c r="Z55" s="1121"/>
      <c r="AA55" s="64" t="s">
        <v>919</v>
      </c>
      <c r="AB55" s="227"/>
      <c r="AC55" s="229" t="b">
        <v>0</v>
      </c>
      <c r="AD55" s="1337"/>
      <c r="AE55" s="122"/>
      <c r="AF55" s="1338"/>
    </row>
    <row r="56" spans="1:32">
      <c r="A56" s="189"/>
      <c r="B56" s="595" t="s">
        <v>303</v>
      </c>
      <c r="C56" s="1305" t="b">
        <f>MID($R$54,1,1)+MID($R$54,3,1)+MID(R$54,5,1)&gt;=2</f>
        <v>0</v>
      </c>
      <c r="D56" s="596">
        <f>IF($C56,VLOOKUP($B56,GenSocketStats,lookStr,FALSE),0)</f>
        <v>0</v>
      </c>
      <c r="E56" s="596">
        <f>IF($C56,VLOOKUP($B56,GenSocketStats,lookAgi,FALSE),0)</f>
        <v>0</v>
      </c>
      <c r="F56" s="596">
        <f>IF($C56,VLOOKUP($B56,GenSocketStats,lookSta,FALSE),0)</f>
        <v>0</v>
      </c>
      <c r="G56" s="597">
        <f>IF($C56,VLOOKUP($B56,GenSocketStats,lookCrit,FALSE),0)</f>
        <v>0</v>
      </c>
      <c r="H56" s="597">
        <f>IF($C56,VLOOKUP($B56,GenSocketStats,lookHit,FALSE),0)</f>
        <v>0</v>
      </c>
      <c r="I56" s="596">
        <f>IF($C56,VLOOKUP($B56,GenSocketStats,lookAP,FALSE),0)</f>
        <v>0</v>
      </c>
      <c r="J56" s="596">
        <f>IF($C56,VLOOKUP($B56,GenSocketStats,lookRes,FALSE),0)</f>
        <v>0</v>
      </c>
      <c r="K56" s="597">
        <f>IF($C56,VLOOKUP($B56,GenSocketStats,lookDod,FALSE),0)</f>
        <v>0</v>
      </c>
      <c r="L56" s="596">
        <f>IF($C56,VLOOKUP($B56,GenSocketStats,lookExp,FALSE),0)</f>
        <v>0</v>
      </c>
      <c r="M56" s="596"/>
      <c r="N56" s="601"/>
      <c r="O56" s="596"/>
      <c r="P56" s="596">
        <f>IF($C56,VLOOKUP($B56,GenSocketStats,lookHaste,FALSE),0)</f>
        <v>0</v>
      </c>
      <c r="Q56" s="596">
        <f>IF($C56,VLOOKUP($B56,GenSocketStats,lookArmor,FALSE),0)</f>
        <v>0</v>
      </c>
      <c r="R56" s="596">
        <f>IF($C56,VLOOKUP($B56,GenSocketStats,lookSoc,FALSE),0)</f>
        <v>0</v>
      </c>
      <c r="S56" s="598">
        <f>IF($C56,VLOOKUP($B56,GenSocketStats,lookSet,FALSE),0)</f>
        <v>0</v>
      </c>
      <c r="U56" s="1126"/>
      <c r="V56" s="197" t="s">
        <v>439</v>
      </c>
      <c r="W56" s="189"/>
      <c r="X56" s="189"/>
      <c r="Y56" s="189" t="b">
        <v>1</v>
      </c>
      <c r="Z56" s="189"/>
      <c r="AA56" s="189"/>
      <c r="AB56" s="227"/>
      <c r="AC56" s="229"/>
      <c r="AD56" s="1337"/>
      <c r="AE56" s="122"/>
      <c r="AF56" s="1338"/>
    </row>
    <row r="57" spans="1:32">
      <c r="A57" s="608" t="s">
        <v>2079</v>
      </c>
      <c r="B57" s="613" t="s">
        <v>2080</v>
      </c>
      <c r="C57" s="1150" t="str">
        <f>VLOOKUP($B57,LegsStats,lookSource,FALSE)</f>
        <v>Karazhan</v>
      </c>
      <c r="D57" s="609">
        <f>VLOOKUP($B57,LegsStats,lookStr,FALSE)</f>
        <v>0</v>
      </c>
      <c r="E57" s="609">
        <f>VLOOKUP($B57,LegsStats,lookAgi,FALSE)</f>
        <v>32</v>
      </c>
      <c r="F57" s="609">
        <f>VLOOKUP($B57,LegsStats,lookSta,FALSE)</f>
        <v>28</v>
      </c>
      <c r="G57" s="610">
        <f>VLOOKUP($B57,LegsStats,lookCrit,FALSE)</f>
        <v>0</v>
      </c>
      <c r="H57" s="610">
        <f>VLOOKUP($B57,LegsStats,lookHit,FALSE)</f>
        <v>28</v>
      </c>
      <c r="I57" s="609">
        <f>VLOOKUP($B57,LegsStats,lookAP,FALSE)</f>
        <v>64</v>
      </c>
      <c r="J57" s="611">
        <f>VLOOKUP($B57,LegsStats,lookRes,FALSE)</f>
        <v>0</v>
      </c>
      <c r="K57" s="610">
        <f>VLOOKUP($B57,LegsStats,lookDod,FALSE)</f>
        <v>0</v>
      </c>
      <c r="L57" s="611">
        <f>VLOOKUP($B57,LegsStats,lookExp,FALSE)</f>
        <v>0</v>
      </c>
      <c r="M57" s="611">
        <f>VLOOKUP($B57,LegsStats,lookDef,FALSE)</f>
        <v>0</v>
      </c>
      <c r="N57" s="1150"/>
      <c r="O57" s="611"/>
      <c r="P57" s="611">
        <f>VLOOKUP($B57,LegsStats,lookHaste,FALSE)</f>
        <v>0</v>
      </c>
      <c r="Q57" s="611">
        <f>VLOOKUP($B57,LegsStats,lookArmor,FALSE)</f>
        <v>0</v>
      </c>
      <c r="R57" s="611" t="str">
        <f>VLOOKUP($B57,LegsStats,lookSoc,FALSE)</f>
        <v>2 1 0</v>
      </c>
      <c r="S57" s="611">
        <f>VLOOKUP($B57,LegsStats,lookSet,FALSE)</f>
        <v>0</v>
      </c>
      <c r="U57" s="188"/>
      <c r="V57" s="189"/>
      <c r="W57" s="189"/>
      <c r="X57" s="189"/>
      <c r="Y57" s="189"/>
      <c r="Z57" s="189"/>
      <c r="AA57" s="189"/>
      <c r="AB57" s="227"/>
      <c r="AC57" s="229"/>
      <c r="AD57" s="1337"/>
      <c r="AE57" s="122"/>
      <c r="AF57" s="1338">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5" t="s">
        <v>1341</v>
      </c>
      <c r="C58" s="1304"/>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1"/>
      <c r="O58" s="39"/>
      <c r="P58" s="41">
        <f>VLOOKUP($B58,LegEnchantStats,lookHaste,FALSE)</f>
        <v>0</v>
      </c>
      <c r="Q58" s="41">
        <f>VLOOKUP($B58,LegEnchantStats,lookArmor,FALSE)</f>
        <v>0</v>
      </c>
      <c r="R58" s="39">
        <f>VLOOKUP($B58,LegEnchantStats,lookSoc,FALSE)</f>
        <v>0</v>
      </c>
      <c r="S58" s="39">
        <f>VLOOKUP($B58,LegEnchantStats,lookSet,FALSE)</f>
        <v>0</v>
      </c>
      <c r="U58" s="1126"/>
      <c r="V58" s="191" t="s">
        <v>472</v>
      </c>
      <c r="W58" s="189"/>
      <c r="X58" s="189"/>
      <c r="Y58" s="64" t="b">
        <v>1</v>
      </c>
      <c r="Z58" s="189"/>
      <c r="AA58" s="189"/>
      <c r="AB58" s="227"/>
      <c r="AC58" s="229"/>
      <c r="AD58" s="1337"/>
      <c r="AE58" s="122"/>
      <c r="AF58" s="1338">
        <f>$D58*dpsStr+$E58*dpsAgi+$G58*dpsCrit+$H58*dpsHit+$I58*dpsAP+$L58*dpsExp+$P58*dpsHaste+$Q58*dpsArmor</f>
        <v>26.096056958871941</v>
      </c>
    </row>
    <row r="59" spans="1:32">
      <c r="A59" s="600" t="str">
        <f>IF(AC20,"+"&amp;MID(AD20,4,2)&amp;" "&amp;MID(AD20,1,2),MID($R$57,1,1)&amp;" Red "&amp;MID($R$57,3,1)&amp;" Blue "&amp;MID($R$57,5,1)&amp;" Yellow")</f>
        <v>2 Red 1 Blue 0 Yellow</v>
      </c>
      <c r="B59" s="595" t="s">
        <v>1982</v>
      </c>
      <c r="C59" s="1305" t="b">
        <f>MID($R$57,1,1)+MID($R$57,3,1)+MID(R$57,5,1)&gt;=1</f>
        <v>1</v>
      </c>
      <c r="D59" s="596">
        <f>IF($C59,VLOOKUP($B59,GenSocketStats,lookStr,FALSE),0)</f>
        <v>0</v>
      </c>
      <c r="E59" s="596">
        <f>IF($C59,VLOOKUP($B59,GenSocketStats,lookAgi,FALSE),0)</f>
        <v>0</v>
      </c>
      <c r="F59" s="596">
        <f>IF($C59,VLOOKUP($B59,GenSocketStats,lookSta,FALSE),0)</f>
        <v>0</v>
      </c>
      <c r="G59" s="597">
        <f>IF($C59,VLOOKUP($B59,GenSocketStats,lookCrit,FALSE),0)</f>
        <v>0</v>
      </c>
      <c r="H59" s="597">
        <f>IF($C59,VLOOKUP($B59,GenSocketStats,lookHit,FALSE),0)</f>
        <v>8</v>
      </c>
      <c r="I59" s="596">
        <f>IF($C59,VLOOKUP($B59,GenSocketStats,lookAP,FALSE),0)</f>
        <v>0</v>
      </c>
      <c r="J59" s="596">
        <f>IF($C59,VLOOKUP($B59,GenSocketStats,lookRes,FALSE),0)</f>
        <v>0</v>
      </c>
      <c r="K59" s="597">
        <f>IF($C59,VLOOKUP($B59,GenSocketStats,lookDod,FALSE),0)</f>
        <v>0</v>
      </c>
      <c r="L59" s="596">
        <f>IF($C59,VLOOKUP($B59,GenSocketStats,lookExp,FALSE),0)</f>
        <v>0</v>
      </c>
      <c r="M59" s="596"/>
      <c r="N59" s="601"/>
      <c r="O59" s="596"/>
      <c r="P59" s="596">
        <f>IF($C59,VLOOKUP($B59,GenSocketStats,lookHaste,FALSE),0)</f>
        <v>0</v>
      </c>
      <c r="Q59" s="596">
        <f>IF($C59,VLOOKUP($B59,GenSocketStats,lookArmor,FALSE),0)</f>
        <v>0</v>
      </c>
      <c r="R59" s="596" t="str">
        <f>IF($C59,VLOOKUP($B59,GenSocketStats,lookSoc,FALSE),0)</f>
        <v>0 0 1</v>
      </c>
      <c r="S59" s="598">
        <f>IF($C59,VLOOKUP($B59,GenSocketStats,lookSet,FALSE),0)</f>
        <v>0</v>
      </c>
      <c r="U59" s="1126"/>
      <c r="V59" s="191" t="s">
        <v>471</v>
      </c>
      <c r="W59" s="189"/>
      <c r="X59" s="189"/>
      <c r="Y59" s="64" t="b">
        <v>1</v>
      </c>
      <c r="Z59" s="189"/>
      <c r="AA59" s="189"/>
      <c r="AB59" s="189"/>
      <c r="AC59" s="190"/>
      <c r="AD59" s="1337"/>
      <c r="AE59" s="1337"/>
      <c r="AF59" s="1339"/>
    </row>
    <row r="60" spans="1:32">
      <c r="A60" s="189"/>
      <c r="B60" s="595" t="s">
        <v>1982</v>
      </c>
      <c r="C60" s="1305" t="b">
        <f>MID($R$57,1,1)+MID($R$57,3,1)+MID(R$57,5,1)&gt;=2</f>
        <v>1</v>
      </c>
      <c r="D60" s="596">
        <f>IF($C60,VLOOKUP($B60,GenSocketStats,lookStr,FALSE),0)</f>
        <v>0</v>
      </c>
      <c r="E60" s="596">
        <f>IF($C60,VLOOKUP($B60,GenSocketStats,lookAgi,FALSE),0)</f>
        <v>0</v>
      </c>
      <c r="F60" s="596">
        <f>IF($C60,VLOOKUP($B60,GenSocketStats,lookSta,FALSE),0)</f>
        <v>0</v>
      </c>
      <c r="G60" s="597">
        <f>IF($C60,VLOOKUP($B60,GenSocketStats,lookCrit,FALSE),0)</f>
        <v>0</v>
      </c>
      <c r="H60" s="597">
        <f>IF($C60,VLOOKUP($B60,GenSocketStats,lookHit,FALSE),0)</f>
        <v>8</v>
      </c>
      <c r="I60" s="596">
        <f>IF($C60,VLOOKUP($B60,GenSocketStats,lookAP,FALSE),0)</f>
        <v>0</v>
      </c>
      <c r="J60" s="596">
        <f>IF($C60,VLOOKUP($B60,GenSocketStats,lookRes,FALSE),0)</f>
        <v>0</v>
      </c>
      <c r="K60" s="597">
        <f>IF($C60,VLOOKUP($B60,GenSocketStats,lookDod,FALSE),0)</f>
        <v>0</v>
      </c>
      <c r="L60" s="596">
        <f>IF($C60,VLOOKUP($B60,GenSocketStats,lookExp,FALSE),0)</f>
        <v>0</v>
      </c>
      <c r="M60" s="596"/>
      <c r="N60" s="601"/>
      <c r="O60" s="596"/>
      <c r="P60" s="596">
        <f>IF($C60,VLOOKUP($B60,GenSocketStats,lookHaste,FALSE),0)</f>
        <v>0</v>
      </c>
      <c r="Q60" s="596">
        <f>IF($C60,VLOOKUP($B60,GenSocketStats,lookArmor,FALSE),0)</f>
        <v>0</v>
      </c>
      <c r="R60" s="596" t="str">
        <f>IF($C60,VLOOKUP($B60,GenSocketStats,lookSoc,FALSE),0)</f>
        <v>0 0 1</v>
      </c>
      <c r="S60" s="598">
        <f>IF($C60,VLOOKUP($B60,GenSocketStats,lookSet,FALSE),0)</f>
        <v>0</v>
      </c>
      <c r="U60" s="1126"/>
      <c r="V60" s="191" t="s">
        <v>467</v>
      </c>
      <c r="W60" s="189"/>
      <c r="X60" s="189"/>
      <c r="Y60" s="64" t="b">
        <v>1</v>
      </c>
      <c r="Z60" s="189"/>
      <c r="AA60" s="191" t="s">
        <v>468</v>
      </c>
      <c r="AB60" s="189"/>
      <c r="AC60" s="190"/>
      <c r="AD60" s="1337"/>
      <c r="AE60" s="1337"/>
      <c r="AF60" s="1339"/>
    </row>
    <row r="61" spans="1:32">
      <c r="A61" s="189"/>
      <c r="B61" s="595" t="s">
        <v>1982</v>
      </c>
      <c r="C61" s="1305" t="b">
        <f>MID($R$57,1,1)+MID($R$57,3,1)+MID(R$57,5,1)&gt;=3</f>
        <v>1</v>
      </c>
      <c r="D61" s="596">
        <f>IF($C61,VLOOKUP($B61,GenSocketStats,lookStr,FALSE),0)</f>
        <v>0</v>
      </c>
      <c r="E61" s="596">
        <f>IF($C61,VLOOKUP($B61,GenSocketStats,lookAgi,FALSE),0)</f>
        <v>0</v>
      </c>
      <c r="F61" s="596">
        <f>IF($C61,VLOOKUP($B61,GenSocketStats,lookSta,FALSE),0)</f>
        <v>0</v>
      </c>
      <c r="G61" s="597">
        <f>IF($C61,VLOOKUP($B61,GenSocketStats,lookCrit,FALSE),0)</f>
        <v>0</v>
      </c>
      <c r="H61" s="597">
        <f>IF($C61,VLOOKUP($B61,GenSocketStats,lookHit,FALSE),0)</f>
        <v>8</v>
      </c>
      <c r="I61" s="596">
        <f>IF($C61,VLOOKUP($B61,GenSocketStats,lookAP,FALSE),0)</f>
        <v>0</v>
      </c>
      <c r="J61" s="596">
        <f>IF($C61,VLOOKUP($B61,GenSocketStats,lookRes,FALSE),0)</f>
        <v>0</v>
      </c>
      <c r="K61" s="597">
        <f>IF($C61,VLOOKUP($B61,GenSocketStats,lookDod,FALSE),0)</f>
        <v>0</v>
      </c>
      <c r="L61" s="596">
        <f>IF($C61,VLOOKUP($B61,GenSocketStats,lookExp,FALSE),0)</f>
        <v>0</v>
      </c>
      <c r="M61" s="596"/>
      <c r="N61" s="601"/>
      <c r="O61" s="596"/>
      <c r="P61" s="596">
        <f>IF($C61,VLOOKUP($B61,GenSocketStats,lookHaste,FALSE),0)</f>
        <v>0</v>
      </c>
      <c r="Q61" s="596">
        <f>IF($C61,VLOOKUP($B61,GenSocketStats,lookArmor,FALSE),0)</f>
        <v>0</v>
      </c>
      <c r="R61" s="596" t="str">
        <f>IF($C61,VLOOKUP($B61,GenSocketStats,lookSoc,FALSE),0)</f>
        <v>0 0 1</v>
      </c>
      <c r="S61" s="598">
        <f>IF($C61,VLOOKUP($B61,GenSocketStats,lookSet,FALSE),0)</f>
        <v>0</v>
      </c>
      <c r="U61" s="1126"/>
      <c r="V61" s="191" t="s">
        <v>3085</v>
      </c>
      <c r="W61" s="189"/>
      <c r="X61" s="189"/>
      <c r="Y61" s="64" t="b">
        <v>1</v>
      </c>
      <c r="Z61" s="1121"/>
      <c r="AA61" s="27" t="s">
        <v>672</v>
      </c>
      <c r="AB61" s="189"/>
      <c r="AC61" s="500" t="b">
        <v>1</v>
      </c>
      <c r="AD61" s="122"/>
      <c r="AE61" s="122"/>
      <c r="AF61" s="1338"/>
    </row>
    <row r="62" spans="1:32">
      <c r="A62" s="608" t="s">
        <v>1414</v>
      </c>
      <c r="B62" s="613" t="s">
        <v>255</v>
      </c>
      <c r="C62" s="1150" t="str">
        <f>VLOOKUP($B62,BootsStats,lookSource,FALSE)</f>
        <v>Karazhan</v>
      </c>
      <c r="D62" s="609">
        <f>VLOOKUP($B62,BootsStats,lookStr,FALSE)</f>
        <v>0</v>
      </c>
      <c r="E62" s="609">
        <f>VLOOKUP($B62,BootsStats,lookAgi,FALSE)</f>
        <v>29</v>
      </c>
      <c r="F62" s="609">
        <f>VLOOKUP($B62,BootsStats,lookSta,FALSE)</f>
        <v>28</v>
      </c>
      <c r="G62" s="610">
        <f>VLOOKUP($B62,BootsStats,lookCrit,FALSE)</f>
        <v>0</v>
      </c>
      <c r="H62" s="610">
        <f>VLOOKUP($B62,BootsStats,lookHit,FALSE)</f>
        <v>13</v>
      </c>
      <c r="I62" s="609">
        <f>VLOOKUP($B62,BootsStats,lookAP,FALSE)</f>
        <v>44</v>
      </c>
      <c r="J62" s="611">
        <f>VLOOKUP($B62,BootsStats,lookRes,FALSE)</f>
        <v>0</v>
      </c>
      <c r="K62" s="610">
        <f>VLOOKUP($B62,BootsStats,lookDod,FALSE)</f>
        <v>0</v>
      </c>
      <c r="L62" s="611">
        <f>VLOOKUP($B62,BootsStats,lookExp,FALSE)</f>
        <v>0</v>
      </c>
      <c r="M62" s="611">
        <f>VLOOKUP($B62,BootsStats,lookDef,FALSE)</f>
        <v>0</v>
      </c>
      <c r="N62" s="1150"/>
      <c r="O62" s="611"/>
      <c r="P62" s="611">
        <f>VLOOKUP($B62,BootsStats,lookHaste,FALSE)</f>
        <v>0</v>
      </c>
      <c r="Q62" s="611">
        <f>VLOOKUP($B62,BootsStats,lookArmor,FALSE)</f>
        <v>0</v>
      </c>
      <c r="R62" s="611" t="str">
        <f>VLOOKUP($B62,BootsStats,lookSoc,FALSE)</f>
        <v>1 0 1</v>
      </c>
      <c r="S62" s="611">
        <f>VLOOKUP($B62,BootsStats,lookSet,FALSE)</f>
        <v>0</v>
      </c>
      <c r="U62" s="1126"/>
      <c r="V62" s="191" t="s">
        <v>675</v>
      </c>
      <c r="W62" s="189"/>
      <c r="X62" s="189"/>
      <c r="Y62" s="64" t="b">
        <v>1</v>
      </c>
      <c r="Z62" s="1121"/>
      <c r="AA62" s="27" t="s">
        <v>690</v>
      </c>
      <c r="AB62" s="189"/>
      <c r="AC62" s="500" t="b">
        <v>1</v>
      </c>
      <c r="AD62" s="122"/>
      <c r="AE62" s="122"/>
      <c r="AF62" s="1338">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5" t="s">
        <v>257</v>
      </c>
      <c r="C63" s="1304"/>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1"/>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1"/>
      <c r="AA63" s="64" t="s">
        <v>671</v>
      </c>
      <c r="AB63" s="189"/>
      <c r="AC63" s="500" t="b">
        <v>1</v>
      </c>
      <c r="AD63" s="122"/>
      <c r="AE63" s="122"/>
      <c r="AF63" s="1338">
        <f>$D63*dpsStr+$E63*dpsAgi+$G63*dpsCrit+$H63*dpsHit+$I63*dpsAP+$L63*dpsExp+$P63*dpsHaste+$Q63*dpsArmor</f>
        <v>9.9265544320196568</v>
      </c>
    </row>
    <row r="64" spans="1:32">
      <c r="A64" s="600" t="str">
        <f>IF(AC21,"+"&amp;MID(AD21,4,2)&amp;" "&amp;MID(AD21,1,2),MID($R$62,1,1)&amp;" Red "&amp;MID($R$62,3,1)&amp;" Blue "&amp;MID($R$62,5,1)&amp;" Yellow")</f>
        <v>+3 ht</v>
      </c>
      <c r="B64" s="595" t="s">
        <v>1982</v>
      </c>
      <c r="C64" s="1305" t="b">
        <f>MID($R$62,1,1)+MID($R$62,3,1)+MID(R$62,5,1)&gt;=1</f>
        <v>1</v>
      </c>
      <c r="D64" s="596">
        <f>IF($C64,VLOOKUP($B64,GenSocketStats,lookStr,FALSE),0)</f>
        <v>0</v>
      </c>
      <c r="E64" s="596">
        <f>IF($C64,VLOOKUP($B64,GenSocketStats,lookAgi,FALSE),0)</f>
        <v>0</v>
      </c>
      <c r="F64" s="596">
        <f>IF($C64,VLOOKUP($B64,GenSocketStats,lookSta,FALSE),0)</f>
        <v>0</v>
      </c>
      <c r="G64" s="597">
        <f>IF($C64,VLOOKUP($B64,GenSocketStats,lookCrit,FALSE),0)</f>
        <v>0</v>
      </c>
      <c r="H64" s="597">
        <f>IF($C64,VLOOKUP($B64,GenSocketStats,lookHit,FALSE),0)</f>
        <v>8</v>
      </c>
      <c r="I64" s="596">
        <f>IF($C64,VLOOKUP($B64,GenSocketStats,lookAP,FALSE),0)</f>
        <v>0</v>
      </c>
      <c r="J64" s="596">
        <f>IF($C64,VLOOKUP($B64,GenSocketStats,lookRes,FALSE),0)</f>
        <v>0</v>
      </c>
      <c r="K64" s="597">
        <f>IF($C64,VLOOKUP($B64,GenSocketStats,lookDod,FALSE),0)</f>
        <v>0</v>
      </c>
      <c r="L64" s="596">
        <f>IF($C64,VLOOKUP($B64,GenSocketStats,lookExp,FALSE),0)</f>
        <v>0</v>
      </c>
      <c r="M64" s="596"/>
      <c r="N64" s="601"/>
      <c r="O64" s="596"/>
      <c r="P64" s="596">
        <f>IF($C64,VLOOKUP($B64,GenSocketStats,lookHaste,FALSE),0)</f>
        <v>0</v>
      </c>
      <c r="Q64" s="596">
        <f>IF($C64,VLOOKUP($B64,GenSocketStats,lookArmor,FALSE),0)</f>
        <v>0</v>
      </c>
      <c r="R64" s="596" t="str">
        <f>IF($C64,VLOOKUP($B64,GenSocketStats,lookSoc,FALSE),0)</f>
        <v>0 0 1</v>
      </c>
      <c r="S64" s="598">
        <f>IF($C64,VLOOKUP($B64,GenSocketStats,lookSet,FALSE),0)</f>
        <v>0</v>
      </c>
      <c r="U64" s="188"/>
      <c r="V64" s="191" t="s">
        <v>2798</v>
      </c>
      <c r="W64" s="189"/>
      <c r="X64" s="189"/>
      <c r="Y64" s="189"/>
      <c r="Z64" s="1121"/>
      <c r="AA64" s="189" t="s">
        <v>680</v>
      </c>
      <c r="AB64" s="189"/>
      <c r="AC64" s="500" t="b">
        <v>1</v>
      </c>
      <c r="AD64" s="122"/>
      <c r="AE64" s="122"/>
      <c r="AF64" s="1338"/>
    </row>
    <row r="65" spans="1:32">
      <c r="A65" s="189"/>
      <c r="B65" s="595" t="s">
        <v>303</v>
      </c>
      <c r="C65" s="1305" t="b">
        <f>MID($R$62,1,1)+MID($R$62,3,1)+MID(R$62,5,1)&gt;=2</f>
        <v>1</v>
      </c>
      <c r="D65" s="596">
        <f>IF($C65,VLOOKUP($B65,GenSocketStats,lookStr,FALSE),0)</f>
        <v>0</v>
      </c>
      <c r="E65" s="596">
        <f>IF($C65,VLOOKUP($B65,GenSocketStats,lookAgi,FALSE),0)</f>
        <v>4</v>
      </c>
      <c r="F65" s="596">
        <f>IF($C65,VLOOKUP($B65,GenSocketStats,lookSta,FALSE),0)</f>
        <v>0</v>
      </c>
      <c r="G65" s="597">
        <f>IF($C65,VLOOKUP($B65,GenSocketStats,lookCrit,FALSE),0)</f>
        <v>0</v>
      </c>
      <c r="H65" s="597">
        <f>IF($C65,VLOOKUP($B65,GenSocketStats,lookHit,FALSE),0)</f>
        <v>4</v>
      </c>
      <c r="I65" s="596">
        <f>IF($C65,VLOOKUP($B65,GenSocketStats,lookAP,FALSE),0)</f>
        <v>0</v>
      </c>
      <c r="J65" s="596">
        <f>IF($C65,VLOOKUP($B65,GenSocketStats,lookRes,FALSE),0)</f>
        <v>0</v>
      </c>
      <c r="K65" s="597">
        <f>IF($C65,VLOOKUP($B65,GenSocketStats,lookDod,FALSE),0)</f>
        <v>0</v>
      </c>
      <c r="L65" s="596">
        <f>IF($C65,VLOOKUP($B65,GenSocketStats,lookExp,FALSE),0)</f>
        <v>0</v>
      </c>
      <c r="M65" s="596"/>
      <c r="N65" s="601"/>
      <c r="O65" s="596"/>
      <c r="P65" s="596">
        <f>IF($C65,VLOOKUP($B65,GenSocketStats,lookHaste,FALSE),0)</f>
        <v>0</v>
      </c>
      <c r="Q65" s="596">
        <f>IF($C65,VLOOKUP($B65,GenSocketStats,lookArmor,FALSE),0)</f>
        <v>0</v>
      </c>
      <c r="R65" s="596" t="str">
        <f>IF($C65,VLOOKUP($B65,GenSocketStats,lookSoc,FALSE),0)</f>
        <v>1 0 1</v>
      </c>
      <c r="S65" s="598">
        <f>IF($C65,VLOOKUP($B65,GenSocketStats,lookSet,FALSE),0)</f>
        <v>0</v>
      </c>
      <c r="U65" s="1126"/>
      <c r="V65" s="27" t="s">
        <v>2797</v>
      </c>
      <c r="W65" s="189"/>
      <c r="X65" s="189"/>
      <c r="Y65" s="64" t="b">
        <v>1</v>
      </c>
      <c r="Z65" s="1121"/>
      <c r="AA65" s="189" t="s">
        <v>681</v>
      </c>
      <c r="AB65" s="189"/>
      <c r="AC65" s="500" t="b">
        <v>1</v>
      </c>
      <c r="AD65" s="122"/>
      <c r="AE65" s="122"/>
      <c r="AF65" s="1338"/>
    </row>
    <row r="66" spans="1:32">
      <c r="A66" s="608" t="s">
        <v>258</v>
      </c>
      <c r="B66" s="614" t="s">
        <v>491</v>
      </c>
      <c r="C66" s="1150" t="str">
        <f>VLOOKUP($B66,RingStats,lookSource,FALSE)</f>
        <v>Karazhan</v>
      </c>
      <c r="D66" s="609">
        <f>VLOOKUP($B66,RingStats,lookStr,FALSE)</f>
        <v>0</v>
      </c>
      <c r="E66" s="609">
        <f>VLOOKUP($B66,RingStats,lookAgi,FALSE)</f>
        <v>20</v>
      </c>
      <c r="F66" s="609">
        <f>VLOOKUP($B66,RingStats,lookSta,FALSE)</f>
        <v>25</v>
      </c>
      <c r="G66" s="610">
        <f>VLOOKUP($B66,RingStats,lookCrit,FALSE)</f>
        <v>0</v>
      </c>
      <c r="H66" s="610">
        <f>VLOOKUP($B66,RingStats,lookHit,FALSE)</f>
        <v>18</v>
      </c>
      <c r="I66" s="609">
        <f>VLOOKUP($B66,RingStats,lookAP,FALSE)</f>
        <v>40</v>
      </c>
      <c r="J66" s="611">
        <f>VLOOKUP($B66,RingStats,lookRes,FALSE)</f>
        <v>0</v>
      </c>
      <c r="K66" s="610">
        <f>VLOOKUP($B66,RingStats,lookDod,FALSE)</f>
        <v>0</v>
      </c>
      <c r="L66" s="611">
        <f>VLOOKUP($B66,RingStats,lookExp,FALSE)</f>
        <v>0</v>
      </c>
      <c r="M66" s="611">
        <f>VLOOKUP($B66,RingStats,lookDef,FALSE)</f>
        <v>0</v>
      </c>
      <c r="N66" s="1150"/>
      <c r="O66" s="611"/>
      <c r="P66" s="611">
        <f>VLOOKUP($B66,RingStats,lookHaste,FALSE)</f>
        <v>0</v>
      </c>
      <c r="Q66" s="611">
        <f>VLOOKUP($B66,RingStats,lookArmor,FALSE)</f>
        <v>0</v>
      </c>
      <c r="R66" s="611">
        <f>VLOOKUP($B66,RingStats,lookSoc,FALSE)</f>
        <v>0</v>
      </c>
      <c r="S66" s="611">
        <f>VLOOKUP($B66,RingStats,lookSet,FALSE)</f>
        <v>0</v>
      </c>
      <c r="U66" s="1126"/>
      <c r="V66" s="27" t="s">
        <v>2799</v>
      </c>
      <c r="W66" s="189"/>
      <c r="X66" s="189"/>
      <c r="Y66" s="64" t="b">
        <v>0</v>
      </c>
      <c r="Z66" s="1121"/>
      <c r="AA66" s="27" t="s">
        <v>1685</v>
      </c>
      <c r="AB66" s="189"/>
      <c r="AC66" s="500" t="b">
        <v>1</v>
      </c>
      <c r="AD66" s="122"/>
      <c r="AE66" s="122"/>
      <c r="AF66" s="1338">
        <f>$D66*dpsStr+$E66*dpsAgi+$G66*dpsCrit+$H66*dpsHit+$I66*dpsAP+$L66*dpsExp+$P66*dpsHaste+$Q66*dpsArmor</f>
        <v>130.73802482919473</v>
      </c>
    </row>
    <row r="67" spans="1:32">
      <c r="A67" s="189" t="s">
        <v>260</v>
      </c>
      <c r="B67" s="606" t="s">
        <v>1688</v>
      </c>
      <c r="C67" s="1304"/>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6"/>
      <c r="O67" s="40"/>
      <c r="P67" s="46">
        <f>VLOOKUP($B67,RingEnchantStats,lookHaste,FALSE)</f>
        <v>0</v>
      </c>
      <c r="Q67" s="46">
        <f>VLOOKUP($B67,RingEnchantStats,lookArmor,FALSE)</f>
        <v>0</v>
      </c>
      <c r="R67" s="46">
        <f>VLOOKUP($B67,RingEnchantStats,lookSoc,FALSE)</f>
        <v>0</v>
      </c>
      <c r="S67" s="46">
        <f>VLOOKUP($B67,RingEnchantStats,lookSet,FALSE)</f>
        <v>0</v>
      </c>
      <c r="U67" s="1126"/>
      <c r="V67" s="64" t="s">
        <v>2800</v>
      </c>
      <c r="W67" s="189"/>
      <c r="X67" s="189"/>
      <c r="Y67" s="64" t="b">
        <v>0</v>
      </c>
      <c r="Z67" s="1121"/>
      <c r="AA67" s="27" t="s">
        <v>678</v>
      </c>
      <c r="AB67" s="189"/>
      <c r="AC67" s="500" t="b">
        <v>1</v>
      </c>
      <c r="AD67" s="122"/>
      <c r="AE67" s="122"/>
      <c r="AF67" s="1338">
        <f>$D67*dpsStr+$E67*dpsAgi+$G67*dpsCrit+$H67*dpsHit+$I67*dpsAP+$L67*dpsExp+$P67*dpsHaste+$Q67*dpsArmor</f>
        <v>0</v>
      </c>
    </row>
    <row r="68" spans="1:32">
      <c r="A68" s="608" t="s">
        <v>1566</v>
      </c>
      <c r="B68" s="613" t="s">
        <v>259</v>
      </c>
      <c r="C68" s="1150" t="str">
        <f>VLOOKUP($B68,RingStats,lookSource,FALSE)</f>
        <v>Karazhan</v>
      </c>
      <c r="D68" s="609">
        <f>VLOOKUP($B68,RingStats,lookStr,FALSE)</f>
        <v>0</v>
      </c>
      <c r="E68" s="609">
        <f>VLOOKUP($B68,RingStats,lookAgi,FALSE)</f>
        <v>0</v>
      </c>
      <c r="F68" s="609">
        <f>VLOOKUP($B68,RingStats,lookSta,FALSE)</f>
        <v>21</v>
      </c>
      <c r="G68" s="610">
        <f>VLOOKUP($B68,RingStats,lookCrit,FALSE)</f>
        <v>23</v>
      </c>
      <c r="H68" s="610">
        <f>VLOOKUP($B68,RingStats,lookHit,FALSE)</f>
        <v>19</v>
      </c>
      <c r="I68" s="609">
        <f>VLOOKUP($B68,RingStats,lookAP,FALSE)</f>
        <v>44</v>
      </c>
      <c r="J68" s="611">
        <f>VLOOKUP($B68,RingStats,lookRes,FALSE)</f>
        <v>0</v>
      </c>
      <c r="K68" s="610">
        <f>VLOOKUP($B68,RingStats,lookDod,FALSE)</f>
        <v>0</v>
      </c>
      <c r="L68" s="611">
        <f>VLOOKUP($B68,RingStats,lookExp,FALSE)</f>
        <v>0</v>
      </c>
      <c r="M68" s="611">
        <f>VLOOKUP($B68,RingStats,lookDef,FALSE)</f>
        <v>0</v>
      </c>
      <c r="N68" s="1150"/>
      <c r="O68" s="611"/>
      <c r="P68" s="611">
        <f>VLOOKUP($B68,RingStats,lookHaste,FALSE)</f>
        <v>0</v>
      </c>
      <c r="Q68" s="611">
        <f>VLOOKUP($B68,RingStats,lookArmor,FALSE)</f>
        <v>0</v>
      </c>
      <c r="R68" s="611">
        <f>VLOOKUP($B68,RingStats,lookSoc,FALSE)</f>
        <v>0</v>
      </c>
      <c r="S68" s="611">
        <f>VLOOKUP($B68,RingStats,lookSet,FALSE)</f>
        <v>0</v>
      </c>
      <c r="U68" s="1126"/>
      <c r="V68" s="189" t="s">
        <v>2801</v>
      </c>
      <c r="W68" s="189"/>
      <c r="X68" s="189"/>
      <c r="Y68" s="64" t="b">
        <v>0</v>
      </c>
      <c r="Z68" s="1121"/>
      <c r="AA68" s="189" t="s">
        <v>666</v>
      </c>
      <c r="AB68" s="189"/>
      <c r="AC68" s="500" t="b">
        <v>1</v>
      </c>
      <c r="AD68" s="122"/>
      <c r="AE68" s="122"/>
      <c r="AF68" s="1338">
        <f>$D68*dpsStr+$E68*dpsAgi+$G68*dpsCrit+$H68*dpsHit+$I68*dpsAP+$L68*dpsExp+$P68*dpsHaste+$Q68*dpsArmor</f>
        <v>136.94643403976124</v>
      </c>
    </row>
    <row r="69" spans="1:32">
      <c r="A69" s="189" t="s">
        <v>260</v>
      </c>
      <c r="B69" s="606" t="s">
        <v>1688</v>
      </c>
      <c r="C69" s="1304"/>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6"/>
      <c r="O69" s="40"/>
      <c r="P69" s="46">
        <f>VLOOKUP($B69,RingEnchantStats,lookHaste,FALSE)</f>
        <v>0</v>
      </c>
      <c r="Q69" s="46">
        <f>VLOOKUP($B69,RingEnchantStats,lookArmor,FALSE)</f>
        <v>0</v>
      </c>
      <c r="R69" s="46">
        <f>VLOOKUP($B69,RingEnchantStats,lookSoc,FALSE)</f>
        <v>0</v>
      </c>
      <c r="S69" s="46">
        <f>VLOOKUP($B69,RingEnchantStats,lookSet,FALSE)</f>
        <v>0</v>
      </c>
      <c r="U69" s="1126"/>
      <c r="V69" s="189" t="s">
        <v>2802</v>
      </c>
      <c r="W69" s="189"/>
      <c r="X69" s="189"/>
      <c r="Y69" s="64" t="b">
        <v>0</v>
      </c>
      <c r="Z69" s="1121"/>
      <c r="AA69" s="189" t="s">
        <v>469</v>
      </c>
      <c r="AB69" s="189"/>
      <c r="AC69" s="500" t="b">
        <v>1</v>
      </c>
      <c r="AD69" s="122"/>
      <c r="AE69" s="122"/>
      <c r="AF69" s="1338">
        <f>$D69*dpsStr+$E69*dpsAgi+$G69*dpsCrit+$H69*dpsHit+$I69*dpsAP+$L69*dpsExp+$P69*dpsHaste+$Q69*dpsArmor</f>
        <v>0</v>
      </c>
    </row>
    <row r="70" spans="1:32" ht="12.75" customHeight="1">
      <c r="A70" s="608" t="s">
        <v>1936</v>
      </c>
      <c r="B70" s="614" t="s">
        <v>1937</v>
      </c>
      <c r="C70" s="1150" t="str">
        <f>VLOOKUP($B70,TrinketStats,lookSource,FALSE)</f>
        <v>Gruul's Lair</v>
      </c>
      <c r="D70" s="609">
        <f>VLOOKUP($B70,TrinketStats,lookStr,FALSE)</f>
        <v>0</v>
      </c>
      <c r="E70" s="609">
        <f>VLOOKUP($B70,TrinketStats,lookAgi,FALSE)</f>
        <v>0</v>
      </c>
      <c r="F70" s="609">
        <f>VLOOKUP($B70,TrinketStats,lookSta,FALSE)</f>
        <v>0</v>
      </c>
      <c r="G70" s="610">
        <f>VLOOKUP($B70,TrinketStats,lookCrit,FALSE)</f>
        <v>0</v>
      </c>
      <c r="H70" s="610">
        <f>VLOOKUP($B70,TrinketStats,lookHit,FALSE)</f>
        <v>0</v>
      </c>
      <c r="I70" s="609">
        <f>VLOOKUP($B70,TrinketStats,lookAP,FALSE)</f>
        <v>40</v>
      </c>
      <c r="J70" s="611">
        <f>VLOOKUP($B70,TrinketStats,lookRes,FALSE)</f>
        <v>0</v>
      </c>
      <c r="K70" s="610">
        <f>VLOOKUP($B70,TrinketStats,lookDod,FALSE)</f>
        <v>0</v>
      </c>
      <c r="L70" s="611">
        <f>VLOOKUP($B70,TrinketStats,lookExp,FALSE)</f>
        <v>0</v>
      </c>
      <c r="M70" s="611">
        <f>VLOOKUP($B70,TrinketStats,lookDef,FALSE)</f>
        <v>0</v>
      </c>
      <c r="N70" s="1150"/>
      <c r="O70" s="611"/>
      <c r="P70" s="610">
        <f>VLOOKUP($B70,TrinketStats,lookHaste,FALSE)</f>
        <v>99.923869008308046</v>
      </c>
      <c r="Q70" s="611">
        <f>VLOOKUP($B70,TrinketStats,lookArmor,FALSE)</f>
        <v>0</v>
      </c>
      <c r="R70" s="611">
        <f>VLOOKUP($B70,TrinketStats,lookSoc,FALSE)</f>
        <v>0</v>
      </c>
      <c r="S70" s="611">
        <f>VLOOKUP($B70,TrinketStats,lookSet,FALSE)</f>
        <v>0</v>
      </c>
      <c r="U70" s="1136"/>
      <c r="V70" s="189"/>
      <c r="W70" s="189"/>
      <c r="X70" s="64"/>
      <c r="Y70" s="189"/>
      <c r="Z70" s="1121"/>
      <c r="AA70" s="189" t="s">
        <v>682</v>
      </c>
      <c r="AB70" s="189"/>
      <c r="AC70" s="500" t="b">
        <v>1</v>
      </c>
      <c r="AD70" s="122"/>
      <c r="AE70" s="122"/>
      <c r="AF70" s="1338">
        <f>$D70*dpsStr+$E70*dpsAgi+$G70*dpsCrit+$H70*dpsHit+$I70*dpsAP+$L70*dpsExp+$P70*dpsHaste+$Q70*dpsArmor+VLOOKUP($B70,TrinketStats,23,FALSE)</f>
        <v>381.15216877515627</v>
      </c>
    </row>
    <row r="71" spans="1:32">
      <c r="A71" s="608" t="s">
        <v>1938</v>
      </c>
      <c r="B71" s="614" t="s">
        <v>185</v>
      </c>
      <c r="C71" s="1150" t="str">
        <f>VLOOKUP($B71,TrinketStats,lookSource,FALSE)</f>
        <v>Heroic</v>
      </c>
      <c r="D71" s="609">
        <f>VLOOKUP($B71,TrinketStats,lookStr,FALSE)</f>
        <v>0</v>
      </c>
      <c r="E71" s="609">
        <f>VLOOKUP($B71,TrinketStats,lookAgi,FALSE)</f>
        <v>0</v>
      </c>
      <c r="F71" s="609">
        <f>VLOOKUP($B71,TrinketStats,lookSta,FALSE)</f>
        <v>0</v>
      </c>
      <c r="G71" s="610">
        <f>VLOOKUP($B71,TrinketStats,lookCrit,FALSE)</f>
        <v>0</v>
      </c>
      <c r="H71" s="610">
        <f>VLOOKUP($B71,TrinketStats,lookHit,FALSE)</f>
        <v>0</v>
      </c>
      <c r="I71" s="609">
        <f>VLOOKUP($B71,TrinketStats,lookAP,FALSE)</f>
        <v>72</v>
      </c>
      <c r="J71" s="611">
        <f>VLOOKUP($B71,TrinketStats,lookRes,FALSE)</f>
        <v>0</v>
      </c>
      <c r="K71" s="610">
        <f>VLOOKUP($B71,TrinketStats,lookDod,FALSE)</f>
        <v>0</v>
      </c>
      <c r="L71" s="611">
        <f>VLOOKUP($B71,TrinketStats,lookExp,FALSE)</f>
        <v>0</v>
      </c>
      <c r="M71" s="611">
        <f>VLOOKUP($B71,TrinketStats,lookDef,FALSE)</f>
        <v>0</v>
      </c>
      <c r="N71" s="1150"/>
      <c r="O71" s="611"/>
      <c r="P71" s="611">
        <f>VLOOKUP($B71,TrinketStats,lookHaste,FALSE)</f>
        <v>0</v>
      </c>
      <c r="Q71" s="611">
        <f>VLOOKUP($B71,TrinketStats,lookArmor,FALSE)</f>
        <v>0</v>
      </c>
      <c r="R71" s="611">
        <f>VLOOKUP($B71,TrinketStats,lookSoc,FALSE)</f>
        <v>0</v>
      </c>
      <c r="S71" s="611">
        <f>VLOOKUP($B71,TrinketStats,lookSet,FALSE)</f>
        <v>0</v>
      </c>
      <c r="U71" s="188"/>
      <c r="V71" s="108" t="s">
        <v>800</v>
      </c>
      <c r="W71" s="189"/>
      <c r="X71" s="189"/>
      <c r="Y71" s="189"/>
      <c r="Z71" s="1121"/>
      <c r="AA71" s="64" t="s">
        <v>683</v>
      </c>
      <c r="AB71" s="189"/>
      <c r="AC71" s="500" t="b">
        <v>1</v>
      </c>
      <c r="AD71" s="122"/>
      <c r="AE71" s="122"/>
      <c r="AF71" s="1338">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6"/>
      <c r="V72" s="197" t="s">
        <v>801</v>
      </c>
      <c r="W72" s="189"/>
      <c r="X72" s="189"/>
      <c r="Y72" s="189" t="b">
        <v>0</v>
      </c>
      <c r="Z72" s="1121"/>
      <c r="AA72" s="197" t="s">
        <v>663</v>
      </c>
      <c r="AB72" s="189"/>
      <c r="AC72" s="190" t="b">
        <v>1</v>
      </c>
      <c r="AD72" s="122"/>
      <c r="AE72" s="122"/>
      <c r="AF72" s="1335"/>
    </row>
    <row r="73" spans="1:32" ht="12.75" customHeight="1">
      <c r="A73" s="189"/>
      <c r="B73" s="593" t="s">
        <v>1940</v>
      </c>
      <c r="C73" s="590"/>
      <c r="D73" s="591">
        <f>Sockfit!S48</f>
        <v>0</v>
      </c>
      <c r="E73" s="591">
        <f>Sockfit!T48</f>
        <v>8</v>
      </c>
      <c r="F73" s="591">
        <f>Sockfit!U48</f>
        <v>0</v>
      </c>
      <c r="G73" s="591">
        <f>Sockfit!V48</f>
        <v>0</v>
      </c>
      <c r="H73" s="591">
        <f>Sockfit!W48</f>
        <v>3</v>
      </c>
      <c r="I73" s="591">
        <f>Sockfit!X48</f>
        <v>0</v>
      </c>
      <c r="J73" s="591">
        <f>Sockfit!Z48</f>
        <v>0</v>
      </c>
      <c r="K73" s="591">
        <f>Sockfit!Y48</f>
        <v>0</v>
      </c>
      <c r="L73" s="591">
        <f>Sockfit!AA48</f>
        <v>0</v>
      </c>
      <c r="M73" s="591"/>
      <c r="N73" s="591"/>
      <c r="O73" s="591"/>
      <c r="P73" s="591">
        <f>Sockfit!AE48</f>
        <v>0</v>
      </c>
      <c r="Q73" s="591"/>
      <c r="R73" s="594">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4">
        <f>IF(C41=TRUE,MID(R41,1,1))+IF(C44=TRUE,MID(R44,1,1))+IF(C45=TRUE,MID(R45,1,1))+IF(C46=TRUE,MID(R46,1,1))+IF(C49=TRUE,MID(R49,1,1))+IF(C52=TRUE,MID(R52,1,1))+IF(C53=TRUE,MID(R53,1,1))+IF(C55=TRUE,MID(R55,1,1))+IF(C56=TRUE,MID(R56,1,1))+IF(C59=TRUE,MID(R59,1,1))+IF(C60=TRUE,MID(R60,1,1))+IF(C61=TRUE,MID(R61,1,1))+IF(C64=TRUE,MID(R64,1,1))+IF(C65=TRUE,MID(R65,1,1))</f>
        <v>3</v>
      </c>
      <c r="U73" s="1126"/>
      <c r="V73" s="197" t="s">
        <v>802</v>
      </c>
      <c r="W73" s="189"/>
      <c r="X73" s="189"/>
      <c r="Y73" s="189" t="b">
        <v>1</v>
      </c>
      <c r="Z73" s="1121"/>
      <c r="AA73" s="197" t="s">
        <v>870</v>
      </c>
      <c r="AB73" s="189"/>
      <c r="AC73" s="190" t="b">
        <v>1</v>
      </c>
      <c r="AD73" s="122"/>
      <c r="AE73" s="122"/>
      <c r="AF73" s="1335"/>
    </row>
    <row r="74" spans="1:32">
      <c r="A74" s="189"/>
      <c r="B74" s="1139" t="s">
        <v>2463</v>
      </c>
      <c r="C74" s="1140"/>
      <c r="D74" s="1141">
        <f>VLOOKUP(B74,RacesStats,2,FALSE)</f>
        <v>95</v>
      </c>
      <c r="E74" s="1141">
        <f>VLOOKUP(B74,RacesStats,3,FALSE)</f>
        <v>158</v>
      </c>
      <c r="F74" s="1141">
        <f>VLOOKUP(B74,RacesStats,4,FALSE)</f>
        <v>89</v>
      </c>
      <c r="G74" s="1142">
        <f>VLOOKUP(B74,RacesStats,5,FALSE)</f>
        <v>0</v>
      </c>
      <c r="H74" s="1142">
        <f>VLOOKUP(B74,RacesStats,6,FALSE)</f>
        <v>0</v>
      </c>
      <c r="I74" s="1141">
        <f>VLOOKUP(B74,RacesStats,7,FALSE)</f>
        <v>0</v>
      </c>
      <c r="J74" s="1141"/>
      <c r="K74" s="1142">
        <f>VLOOKUP(B74,RacesStats,8,FALSE)</f>
        <v>0</v>
      </c>
      <c r="L74" s="1143">
        <f>VLOOKUP(B74,RacesStats,9,FALSE)</f>
        <v>0</v>
      </c>
      <c r="M74" s="1143"/>
      <c r="N74" s="1143"/>
      <c r="O74" s="1143"/>
      <c r="P74" s="1143">
        <f>VLOOKUP(B74,RacesStats,13,FALSE)</f>
        <v>0</v>
      </c>
      <c r="Q74" s="1143"/>
      <c r="R74" s="1144">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4">
        <f>IF(C41=TRUE,MID(R41,3,1))+IF(C44=TRUE,MID(R44,3,1))+IF(C45=TRUE,MID(R45,3,1))+IF(C46=TRUE,MID(R46,3,1))+IF(C49=TRUE,MID(R49,3,1))+IF(C52=TRUE,MID(R52,3,1))+IF(C53=TRUE,MID(R53,3,1))+IF(C55=TRUE,MID(R55,3,1))+IF(C56=TRUE,MID(R56,3,1))+IF(C59=TRUE,MID(R59,3,1))+IF(C60=TRUE,MID(R60,3,1))+IF(C61=TRUE,MID(R61,3,1))+IF(C64=TRUE,MID(R64,3,1))+IF(C65=TRUE,MID(R65,3,1))</f>
        <v>1</v>
      </c>
      <c r="U74" s="1126"/>
      <c r="V74" s="197" t="s">
        <v>803</v>
      </c>
      <c r="W74" s="189"/>
      <c r="X74" s="189"/>
      <c r="Y74" s="189" t="b">
        <v>0</v>
      </c>
      <c r="Z74" s="1121"/>
      <c r="AA74" s="27" t="s">
        <v>2794</v>
      </c>
      <c r="AB74" s="189"/>
      <c r="AC74" s="190" t="b">
        <v>1</v>
      </c>
      <c r="AD74" s="1337"/>
      <c r="AE74" s="1337"/>
      <c r="AF74" s="1337"/>
    </row>
    <row r="75" spans="1:32" ht="13.5" thickBot="1">
      <c r="A75" s="189"/>
      <c r="B75" s="589" t="s">
        <v>1897</v>
      </c>
      <c r="C75" s="590"/>
      <c r="D75" s="591"/>
      <c r="E75" s="591"/>
      <c r="F75" s="591"/>
      <c r="G75" s="592">
        <f>(Talents!C16/100+IF(mhtype="dagger",Talents!F24/100,0)+IF(mhtype="fist",Talents!F29/100,0))*crrate*100</f>
        <v>110.38461538461539</v>
      </c>
      <c r="H75" s="592">
        <f>Talents!F19/100*HitRate*100</f>
        <v>78.84615384615384</v>
      </c>
      <c r="I75" s="591"/>
      <c r="J75" s="591"/>
      <c r="K75" s="592">
        <f>Talents!F16*dorate</f>
        <v>0</v>
      </c>
      <c r="L75" s="592">
        <f>Talents!$F31*5*skillrate</f>
        <v>39.42307692307692</v>
      </c>
      <c r="M75" s="592"/>
      <c r="N75" s="592"/>
      <c r="O75" s="592"/>
      <c r="P75" s="592"/>
      <c r="Q75" s="592"/>
      <c r="R75" s="594">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4">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37"/>
      <c r="AE75" s="1337"/>
      <c r="AF75" s="1337"/>
    </row>
    <row r="76" spans="1:32">
      <c r="C76" s="48"/>
      <c r="G76" s="49"/>
      <c r="H76" s="49"/>
      <c r="K76" s="49"/>
      <c r="U76" s="189"/>
      <c r="V76" s="189"/>
      <c r="W76" s="189"/>
      <c r="X76" s="189"/>
      <c r="Y76" s="189"/>
      <c r="Z76" s="189"/>
      <c r="AA76" s="189"/>
      <c r="AB76" s="227"/>
      <c r="AC76" s="227"/>
      <c r="AD76" s="1337"/>
      <c r="AE76" s="1337"/>
      <c r="AF76" s="1337"/>
    </row>
    <row r="77" spans="1:32" ht="13.5" thickBot="1">
      <c r="A77" s="281">
        <v>1</v>
      </c>
      <c r="C77" s="48"/>
      <c r="G77" s="49"/>
      <c r="H77" s="49"/>
      <c r="K77" s="49"/>
      <c r="R77" s="205" t="s">
        <v>275</v>
      </c>
      <c r="T77" s="31"/>
      <c r="U77" s="189"/>
      <c r="V77" s="189"/>
      <c r="W77" s="189"/>
      <c r="X77" s="189"/>
      <c r="Y77" s="189"/>
      <c r="Z77" s="189"/>
      <c r="AA77" s="189"/>
      <c r="AB77" s="227"/>
      <c r="AC77" s="227"/>
      <c r="AD77" s="1337"/>
      <c r="AE77" s="1337"/>
      <c r="AF77" s="1337"/>
    </row>
    <row r="78" spans="1:32" ht="13.5" thickBot="1">
      <c r="B78" s="1431" t="s">
        <v>1941</v>
      </c>
      <c r="C78" s="1432"/>
      <c r="D78" s="1145">
        <f>SUM(D10:D76)</f>
        <v>101</v>
      </c>
      <c r="E78" s="1145">
        <f>(SUM(E10:E76)+IF(time=0,0,'Cooldowns Calc'!Y1))*(1+Talents!F33/100)*(1+Talents!I36*3/100)</f>
        <v>675.15470163644818</v>
      </c>
      <c r="F78" s="1145">
        <f>(SUM(F10:F76))*(1+Talents!F33/50)</f>
        <v>431.6</v>
      </c>
      <c r="G78" s="1145">
        <f>SUM(G10:G76)</f>
        <v>159.38461538461539</v>
      </c>
      <c r="H78" s="1145">
        <f>SUM(H10:H76)+Y34</f>
        <v>420.84615384615381</v>
      </c>
      <c r="I78" s="1145">
        <f>(SUM(I10:I76)+E78+D78+120+Y33+Y35+IF(time=0,0,'Cooldowns Calc'!Z1))*deadliness</f>
        <v>1792.3120007357772</v>
      </c>
      <c r="J78" s="1145">
        <f>SUM(J10:J76)+Y28+Y29</f>
        <v>0</v>
      </c>
      <c r="K78" s="1145">
        <f>SUM(K10:K76)+Y32</f>
        <v>0</v>
      </c>
      <c r="L78" s="1145">
        <f>SUM(L10:L76)</f>
        <v>53.42307692307692</v>
      </c>
      <c r="M78" s="1145">
        <f>SUM(M10:M76)</f>
        <v>0</v>
      </c>
      <c r="N78" s="1145"/>
      <c r="O78" s="1145"/>
      <c r="P78" s="1145">
        <f>SUM(P10:P76)</f>
        <v>127.49804426656831</v>
      </c>
      <c r="Q78" s="1145">
        <f>SUM(Q10:Q76)</f>
        <v>0</v>
      </c>
      <c r="R78" s="1146" t="str">
        <f>R73+S73&amp;" "&amp;R74+S74&amp;" "&amp;R75+S75</f>
        <v>4 2 12</v>
      </c>
      <c r="S78" s="50"/>
      <c r="T78" s="31"/>
      <c r="U78" s="189"/>
      <c r="V78" s="189"/>
      <c r="W78" s="189"/>
      <c r="X78" s="189"/>
      <c r="Y78" s="189"/>
      <c r="Z78" s="189"/>
      <c r="AA78" s="189"/>
      <c r="AB78" s="189"/>
      <c r="AC78" s="189"/>
      <c r="AD78" s="1337"/>
      <c r="AE78" s="1337"/>
      <c r="AF78" s="1337"/>
    </row>
    <row r="79" spans="1:32" ht="13.5" thickBot="1">
      <c r="A79" s="615" t="s">
        <v>1942</v>
      </c>
      <c r="B79" s="643"/>
      <c r="C79" s="644" t="s">
        <v>1943</v>
      </c>
      <c r="D79" s="644" t="s">
        <v>1213</v>
      </c>
      <c r="E79" s="644" t="s">
        <v>1214</v>
      </c>
      <c r="F79" s="644" t="s">
        <v>1215</v>
      </c>
      <c r="G79" s="644" t="s">
        <v>2139</v>
      </c>
      <c r="H79" s="644" t="s">
        <v>2138</v>
      </c>
      <c r="I79" s="644" t="s">
        <v>767</v>
      </c>
      <c r="J79" s="644" t="s">
        <v>1216</v>
      </c>
      <c r="K79" s="644" t="s">
        <v>2143</v>
      </c>
      <c r="L79" s="644" t="s">
        <v>1581</v>
      </c>
      <c r="M79" s="644" t="s">
        <v>2165</v>
      </c>
      <c r="N79" s="644"/>
      <c r="O79" s="644"/>
      <c r="P79" s="644" t="s">
        <v>770</v>
      </c>
      <c r="Q79" s="645" t="s">
        <v>769</v>
      </c>
      <c r="R79" s="50"/>
      <c r="S79" s="50"/>
      <c r="T79" s="31"/>
      <c r="U79" s="189"/>
      <c r="V79" s="189"/>
      <c r="W79" s="189"/>
      <c r="X79" s="189"/>
      <c r="Y79" s="189"/>
      <c r="Z79" s="189"/>
      <c r="AA79" s="189"/>
      <c r="AB79" s="189"/>
      <c r="AC79" s="189"/>
      <c r="AD79" s="1337"/>
      <c r="AE79" s="1337"/>
      <c r="AF79" s="20"/>
    </row>
    <row r="80" spans="1:32">
      <c r="A80" s="626"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37"/>
      <c r="AE80" s="1337"/>
      <c r="AF80" s="20"/>
    </row>
    <row r="81" spans="1:32">
      <c r="A81" s="625"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27"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4"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5"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27"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28"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5"/>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29"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5"/>
    </row>
    <row r="90" spans="1:32">
      <c r="A90" s="629"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5"/>
      <c r="AE90" s="1335"/>
      <c r="AF90" s="1335"/>
    </row>
    <row r="91" spans="1:32">
      <c r="A91" s="604"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5"/>
    </row>
    <row r="92" spans="1:32">
      <c r="A92" s="880" t="s">
        <v>3099</v>
      </c>
      <c r="B92" s="881">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5"/>
    </row>
    <row r="93" spans="1:32">
      <c r="A93" s="880" t="s">
        <v>622</v>
      </c>
      <c r="B93" s="881">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5"/>
      <c r="AE93" s="1335"/>
      <c r="AF93" s="1335"/>
    </row>
    <row r="94" spans="1:32" ht="13.5" thickBot="1">
      <c r="A94" s="879"/>
      <c r="B94" s="164"/>
      <c r="C94" s="27"/>
      <c r="D94" s="163"/>
      <c r="E94" s="15"/>
      <c r="F94" s="15"/>
      <c r="G94" s="15"/>
      <c r="H94" s="15"/>
      <c r="I94" s="15"/>
      <c r="J94" s="15"/>
      <c r="K94" s="15"/>
      <c r="L94" s="15"/>
      <c r="M94" s="15"/>
      <c r="N94" s="15"/>
      <c r="O94" s="15"/>
      <c r="P94" s="15"/>
      <c r="Q94" s="15"/>
      <c r="R94" s="50"/>
      <c r="S94" s="50"/>
      <c r="T94" s="31"/>
      <c r="AD94" s="1335"/>
      <c r="AE94" s="1335"/>
      <c r="AF94" s="1335"/>
    </row>
    <row r="95" spans="1:32" ht="13.5" thickBot="1">
      <c r="A95" s="618" t="s">
        <v>1951</v>
      </c>
      <c r="B95" s="619"/>
      <c r="C95" s="620"/>
      <c r="D95" s="616" t="s">
        <v>1213</v>
      </c>
      <c r="E95" s="616" t="s">
        <v>1214</v>
      </c>
      <c r="F95" s="616" t="s">
        <v>1215</v>
      </c>
      <c r="G95" s="616" t="s">
        <v>2139</v>
      </c>
      <c r="H95" s="616" t="s">
        <v>2138</v>
      </c>
      <c r="I95" s="616" t="s">
        <v>767</v>
      </c>
      <c r="J95" s="616" t="s">
        <v>1216</v>
      </c>
      <c r="K95" s="616" t="s">
        <v>2143</v>
      </c>
      <c r="L95" s="616" t="s">
        <v>1581</v>
      </c>
      <c r="M95" s="616" t="s">
        <v>2165</v>
      </c>
      <c r="N95" s="616"/>
      <c r="O95" s="616"/>
      <c r="P95" s="616" t="s">
        <v>770</v>
      </c>
      <c r="Q95" s="617" t="s">
        <v>769</v>
      </c>
      <c r="R95" s="46"/>
      <c r="S95" s="46"/>
      <c r="T95" s="56"/>
      <c r="V95" s="27"/>
      <c r="W95" s="27"/>
      <c r="X95" s="27"/>
      <c r="AD95" s="1335"/>
      <c r="AE95" s="1335"/>
      <c r="AF95" s="1335"/>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5"/>
      <c r="AE96" s="1335"/>
      <c r="AF96" s="1335"/>
    </row>
    <row r="97" spans="1:32">
      <c r="A97" s="625"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5"/>
      <c r="AE97" s="1335"/>
      <c r="AF97" s="1335"/>
    </row>
    <row r="98" spans="1:32">
      <c r="A98" s="625" t="s">
        <v>556</v>
      </c>
      <c r="B98" s="164">
        <v>0</v>
      </c>
      <c r="C98" s="57"/>
      <c r="D98" s="58"/>
      <c r="E98" s="49"/>
      <c r="F98" s="49"/>
      <c r="G98" s="49">
        <f>IF(Talents!O36="No",B98*5*crrate,0)</f>
        <v>0</v>
      </c>
      <c r="H98" s="49"/>
      <c r="I98" s="49"/>
      <c r="AD98" s="1335"/>
      <c r="AE98" s="1335"/>
      <c r="AF98" s="1335"/>
    </row>
    <row r="99" spans="1:32">
      <c r="A99" s="624" t="s">
        <v>554</v>
      </c>
      <c r="B99" s="164">
        <v>1</v>
      </c>
      <c r="C99" s="57">
        <v>5</v>
      </c>
      <c r="D99" s="58"/>
      <c r="E99" s="49"/>
      <c r="F99" s="49"/>
      <c r="G99" s="49"/>
      <c r="H99" s="49"/>
      <c r="I99" s="49">
        <f>IF(Talents!O36="No",B99*305*(1+$C99*0.05),0)</f>
        <v>381.25</v>
      </c>
      <c r="J99" s="49"/>
      <c r="L99" s="46"/>
      <c r="M99" s="46"/>
      <c r="N99" s="46"/>
      <c r="O99" s="46"/>
      <c r="P99" s="46"/>
      <c r="Q99" s="46"/>
      <c r="R99" s="46"/>
      <c r="S99" s="46"/>
      <c r="AD99" s="1335"/>
      <c r="AE99" s="1335"/>
      <c r="AF99" s="1335"/>
    </row>
    <row r="100" spans="1:32">
      <c r="A100" s="624" t="s">
        <v>1661</v>
      </c>
      <c r="B100" s="164">
        <v>0</v>
      </c>
      <c r="C100" s="57"/>
      <c r="D100" s="58"/>
      <c r="E100" s="49"/>
      <c r="F100" s="49"/>
      <c r="G100" s="49"/>
      <c r="H100" s="49"/>
      <c r="I100" s="49">
        <f>IF(Talents!O36="No",B100*70*(1+$C99*0.05),0)</f>
        <v>0</v>
      </c>
      <c r="J100" s="49"/>
      <c r="L100" s="46"/>
      <c r="M100" s="46"/>
      <c r="N100" s="46"/>
      <c r="O100" s="46"/>
      <c r="P100" s="46"/>
      <c r="Q100" s="46"/>
      <c r="R100" s="46"/>
      <c r="S100" s="46"/>
      <c r="AD100" s="1335"/>
      <c r="AE100" s="1335"/>
      <c r="AF100" s="1335"/>
    </row>
    <row r="101" spans="1:32">
      <c r="A101" s="624"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5"/>
      <c r="AE101" s="1335"/>
      <c r="AF101" s="1335"/>
    </row>
    <row r="102" spans="1:32">
      <c r="A102" s="629" t="s">
        <v>555</v>
      </c>
      <c r="B102" s="164">
        <v>0</v>
      </c>
      <c r="C102" s="57"/>
      <c r="D102" s="58"/>
      <c r="E102" s="49"/>
      <c r="F102" s="49"/>
      <c r="G102" s="49"/>
      <c r="H102" s="49"/>
      <c r="I102" s="49">
        <f>IF(Talents!O36="No",B102*125,0)</f>
        <v>0</v>
      </c>
      <c r="J102" s="49"/>
      <c r="L102" s="46"/>
      <c r="M102" s="46"/>
      <c r="N102" s="46"/>
      <c r="O102" s="46"/>
      <c r="P102" s="46"/>
      <c r="Q102" s="46"/>
      <c r="R102" s="46"/>
      <c r="S102" s="46"/>
      <c r="AD102" s="1335"/>
      <c r="AE102" s="1335"/>
      <c r="AF102" s="1335"/>
    </row>
    <row r="103" spans="1:32">
      <c r="A103" s="629" t="s">
        <v>2228</v>
      </c>
      <c r="B103" s="164">
        <v>0</v>
      </c>
      <c r="C103" s="57">
        <v>3</v>
      </c>
      <c r="D103" s="58"/>
      <c r="E103" s="49"/>
      <c r="F103" s="49"/>
      <c r="G103" s="49"/>
      <c r="H103" s="49"/>
      <c r="I103" s="49"/>
      <c r="AD103" s="1335"/>
      <c r="AE103" s="1335"/>
      <c r="AF103" s="1335"/>
    </row>
    <row r="104" spans="1:32">
      <c r="A104" s="628"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5"/>
      <c r="AE104" s="1335"/>
      <c r="AF104" s="1335"/>
    </row>
    <row r="105" spans="1:32">
      <c r="A105" s="628" t="s">
        <v>536</v>
      </c>
      <c r="B105" s="164">
        <v>1</v>
      </c>
      <c r="C105" s="57">
        <v>5</v>
      </c>
      <c r="D105" s="61"/>
      <c r="E105" s="59"/>
      <c r="F105" s="59"/>
      <c r="G105" s="49"/>
      <c r="H105" s="49"/>
      <c r="I105" s="49">
        <f>IF(Talents!O36="No",B105*220*(1+$C105*0.04),0)</f>
        <v>264</v>
      </c>
      <c r="AD105" s="1335"/>
      <c r="AE105" s="1335"/>
      <c r="AF105" s="1335"/>
    </row>
    <row r="106" spans="1:32">
      <c r="A106" s="628" t="s">
        <v>2886</v>
      </c>
      <c r="B106" s="164">
        <v>0</v>
      </c>
      <c r="C106" s="57">
        <v>2</v>
      </c>
      <c r="D106" s="58"/>
      <c r="E106" s="49"/>
      <c r="F106" s="49"/>
      <c r="G106" s="49"/>
      <c r="H106" s="49"/>
      <c r="I106" s="49"/>
      <c r="AD106" s="1335"/>
      <c r="AE106" s="1335"/>
      <c r="AF106" s="1335"/>
    </row>
    <row r="107" spans="1:32">
      <c r="A107" s="630"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5"/>
      <c r="AE107" s="1335"/>
      <c r="AF107" s="1335"/>
    </row>
    <row r="108" spans="1:32">
      <c r="A108" s="630" t="s">
        <v>537</v>
      </c>
      <c r="B108" s="164">
        <v>0</v>
      </c>
      <c r="C108" s="57">
        <v>2</v>
      </c>
      <c r="D108" s="58"/>
      <c r="E108" s="49">
        <f>IF(Talents!O36="No",B108*77*IF($C108=2,1.15,IF($C108=1,1.08,1))*IF(mhtemp="Windfury", 0.9, 1),0)</f>
        <v>0</v>
      </c>
      <c r="F108" s="59"/>
      <c r="G108" s="59"/>
      <c r="H108" s="59"/>
      <c r="I108" s="59"/>
      <c r="J108" s="62"/>
      <c r="AD108" s="1335"/>
      <c r="AE108" s="1335"/>
      <c r="AF108" s="1335"/>
    </row>
    <row r="109" spans="1:32">
      <c r="A109" s="630" t="s">
        <v>538</v>
      </c>
      <c r="B109" s="164">
        <v>1</v>
      </c>
      <c r="C109" s="57">
        <v>2</v>
      </c>
      <c r="D109" s="58">
        <f>IF(Talents!O36="No",B109*86*IF($C109=2,1.15,IF($C109=1,1.08,1)),0)</f>
        <v>98.899999999999991</v>
      </c>
      <c r="E109" s="49"/>
      <c r="F109" s="49"/>
      <c r="G109" s="49"/>
      <c r="H109" s="49"/>
      <c r="I109" s="49"/>
      <c r="AD109" s="1335"/>
      <c r="AE109" s="1335"/>
      <c r="AF109" s="1335"/>
    </row>
    <row r="110" spans="1:32">
      <c r="A110" s="882" t="s">
        <v>539</v>
      </c>
      <c r="B110" s="881">
        <v>1</v>
      </c>
      <c r="C110" s="57"/>
      <c r="D110" s="58"/>
      <c r="E110" s="22"/>
      <c r="F110" s="22"/>
      <c r="G110" s="22"/>
      <c r="H110" s="22"/>
      <c r="I110" s="22"/>
      <c r="J110" s="21"/>
      <c r="K110" s="21"/>
      <c r="L110" s="50"/>
      <c r="M110" s="50"/>
      <c r="N110" s="50"/>
      <c r="O110" s="50"/>
      <c r="P110" s="50"/>
      <c r="Q110" s="50"/>
      <c r="AD110" s="1335"/>
      <c r="AE110" s="1335"/>
      <c r="AF110" s="1335"/>
    </row>
    <row r="111" spans="1:32">
      <c r="A111" s="882" t="s">
        <v>540</v>
      </c>
      <c r="B111" s="881"/>
      <c r="C111" s="57">
        <v>2</v>
      </c>
      <c r="D111" s="58"/>
      <c r="E111" s="22"/>
      <c r="F111" s="22"/>
      <c r="G111" s="22"/>
      <c r="H111" s="22"/>
      <c r="I111" s="22"/>
      <c r="J111" s="21"/>
      <c r="K111" s="21"/>
      <c r="L111" s="50"/>
      <c r="M111" s="50"/>
      <c r="N111" s="50"/>
      <c r="O111" s="50"/>
      <c r="P111" s="50"/>
      <c r="Q111" s="50"/>
      <c r="R111" s="50"/>
      <c r="AD111" s="1335"/>
      <c r="AE111" s="1335"/>
      <c r="AF111" s="1335"/>
    </row>
    <row r="112" spans="1:32">
      <c r="A112" s="627" t="s">
        <v>2888</v>
      </c>
      <c r="B112" s="881">
        <v>0</v>
      </c>
      <c r="C112" s="57">
        <v>3</v>
      </c>
      <c r="D112" s="22"/>
      <c r="E112" s="22"/>
      <c r="F112" s="22">
        <f>IF(Talents!O36="No",B112*70*(1+$C112*0.1),0)</f>
        <v>0</v>
      </c>
      <c r="G112" s="22"/>
      <c r="H112" s="22"/>
      <c r="I112" s="22"/>
      <c r="J112" s="21"/>
      <c r="K112" s="21"/>
      <c r="L112" s="50"/>
      <c r="M112" s="50"/>
      <c r="N112" s="50"/>
      <c r="O112" s="50"/>
      <c r="P112" s="50"/>
      <c r="Q112" s="50"/>
      <c r="R112" s="50"/>
      <c r="AD112" s="1335"/>
      <c r="AE112" s="1335"/>
      <c r="AF112" s="1335"/>
    </row>
    <row r="113" spans="1:32">
      <c r="A113" s="603" t="s">
        <v>105</v>
      </c>
      <c r="B113" s="164">
        <v>0</v>
      </c>
      <c r="C113" s="57"/>
      <c r="D113" s="49"/>
      <c r="E113" s="49"/>
      <c r="F113" s="49"/>
      <c r="G113" s="49"/>
      <c r="H113" s="49"/>
      <c r="I113" s="49"/>
      <c r="P113" s="49"/>
      <c r="Q113" s="49"/>
      <c r="AD113" s="1335"/>
      <c r="AE113" s="1335"/>
      <c r="AF113" s="1335"/>
    </row>
    <row r="114" spans="1:32">
      <c r="A114" s="603" t="s">
        <v>104</v>
      </c>
      <c r="B114" s="164">
        <v>0</v>
      </c>
      <c r="C114" s="57"/>
      <c r="D114" s="49"/>
      <c r="E114" s="49"/>
      <c r="F114" s="49"/>
      <c r="G114" s="49"/>
      <c r="H114" s="49">
        <f>10*conv*B114</f>
        <v>0</v>
      </c>
      <c r="I114" s="49"/>
      <c r="AD114" s="1335"/>
      <c r="AE114" s="1335"/>
      <c r="AF114" s="1335"/>
    </row>
    <row r="115" spans="1:32" ht="13.5" thickBot="1">
      <c r="A115" s="60"/>
      <c r="B115" s="54"/>
      <c r="C115" s="19"/>
      <c r="D115" s="883"/>
      <c r="E115" s="49"/>
      <c r="F115" s="49"/>
      <c r="G115" s="49"/>
      <c r="H115" s="49"/>
      <c r="I115" s="49"/>
      <c r="S115" s="46"/>
      <c r="T115" s="31"/>
      <c r="W115" s="27"/>
      <c r="Z115" s="199">
        <f>1+0.15*C111</f>
        <v>1.3</v>
      </c>
      <c r="AD115" s="1335"/>
      <c r="AE115" s="1335"/>
      <c r="AF115" s="1335"/>
    </row>
    <row r="116" spans="1:32" ht="13.5" thickBot="1">
      <c r="A116" s="621" t="s">
        <v>542</v>
      </c>
      <c r="B116" s="619"/>
      <c r="C116" s="622"/>
      <c r="D116" s="616" t="s">
        <v>1213</v>
      </c>
      <c r="E116" s="616" t="s">
        <v>1214</v>
      </c>
      <c r="F116" s="616" t="s">
        <v>1215</v>
      </c>
      <c r="G116" s="616" t="s">
        <v>2139</v>
      </c>
      <c r="H116" s="616" t="s">
        <v>2138</v>
      </c>
      <c r="I116" s="616" t="s">
        <v>767</v>
      </c>
      <c r="J116" s="616" t="s">
        <v>1216</v>
      </c>
      <c r="K116" s="616" t="s">
        <v>2143</v>
      </c>
      <c r="L116" s="616" t="s">
        <v>1581</v>
      </c>
      <c r="M116" s="616" t="s">
        <v>2165</v>
      </c>
      <c r="N116" s="616"/>
      <c r="O116" s="616"/>
      <c r="P116" s="616" t="s">
        <v>770</v>
      </c>
      <c r="Q116" s="617" t="s">
        <v>769</v>
      </c>
      <c r="R116" s="46"/>
      <c r="S116" s="21"/>
      <c r="T116" s="31"/>
      <c r="W116" s="27"/>
      <c r="AD116" s="1335"/>
      <c r="AE116" s="1335"/>
      <c r="AF116" s="1335"/>
    </row>
    <row r="117" spans="1:32">
      <c r="A117" s="60" t="s">
        <v>1327</v>
      </c>
      <c r="B117" s="164">
        <v>1</v>
      </c>
      <c r="C117" s="57"/>
      <c r="D117" s="49"/>
      <c r="E117" s="49"/>
      <c r="F117" s="49"/>
      <c r="G117" s="49"/>
      <c r="H117" s="49"/>
      <c r="I117" s="49">
        <f>IF(Talents!O36="No",B117*120,0)</f>
        <v>120</v>
      </c>
      <c r="P117" s="49"/>
      <c r="Q117" s="49"/>
      <c r="AD117" s="1335"/>
      <c r="AE117" s="1335"/>
      <c r="AF117" s="1335"/>
    </row>
    <row r="118" spans="1:32">
      <c r="A118" s="60" t="s">
        <v>1332</v>
      </c>
      <c r="B118" s="164">
        <v>0</v>
      </c>
      <c r="C118" s="57"/>
      <c r="D118" s="49"/>
      <c r="E118" s="49">
        <f>IF(Talents!O36="No",B118*20,0)</f>
        <v>0</v>
      </c>
      <c r="F118" s="49">
        <f>IF(Talents!O36="No",B118*30,0)</f>
        <v>0</v>
      </c>
      <c r="G118" s="49"/>
      <c r="H118" s="49"/>
      <c r="I118" s="49">
        <f>IF(Talents!O36="No",B118*40,0)</f>
        <v>0</v>
      </c>
      <c r="P118" s="15"/>
      <c r="Q118" s="49"/>
      <c r="AD118" s="1335"/>
      <c r="AE118" s="1335"/>
      <c r="AF118" s="1335"/>
    </row>
    <row r="119" spans="1:32">
      <c r="A119" s="870"/>
      <c r="B119" s="871"/>
      <c r="C119" s="872"/>
      <c r="D119" s="873"/>
      <c r="E119" s="874"/>
      <c r="F119" s="874"/>
      <c r="G119" s="874"/>
      <c r="H119" s="874"/>
      <c r="I119" s="874"/>
      <c r="J119" s="875"/>
      <c r="K119" s="875"/>
      <c r="L119" s="876"/>
      <c r="M119" s="876"/>
      <c r="N119" s="876"/>
      <c r="O119" s="876"/>
      <c r="P119" s="874"/>
      <c r="Q119" s="874"/>
      <c r="AD119" s="1335"/>
      <c r="AE119" s="1335"/>
      <c r="AF119" s="1335"/>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5"/>
      <c r="AE120" s="1335"/>
      <c r="AF120" s="1335"/>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5"/>
      <c r="AE121" s="1335"/>
      <c r="AF121" s="1335"/>
    </row>
    <row r="122" spans="1:32">
      <c r="A122" s="60" t="s">
        <v>1328</v>
      </c>
      <c r="B122" s="164">
        <v>0</v>
      </c>
      <c r="C122" s="57"/>
      <c r="D122" s="49"/>
      <c r="E122" s="49"/>
      <c r="F122" s="49">
        <f>IF(Talents!O36="No",B122*-10,0)</f>
        <v>0</v>
      </c>
      <c r="G122" s="49"/>
      <c r="H122" s="49"/>
      <c r="I122" s="49">
        <f>IF(Talents!O36="No",B122*90,0)</f>
        <v>0</v>
      </c>
      <c r="P122" s="49"/>
      <c r="Q122" s="49"/>
      <c r="AD122" s="1335"/>
      <c r="AE122" s="1335"/>
      <c r="AF122" s="1335"/>
    </row>
    <row r="123" spans="1:32">
      <c r="A123" s="60" t="s">
        <v>1329</v>
      </c>
      <c r="B123" s="164">
        <v>0</v>
      </c>
      <c r="C123" s="57"/>
      <c r="D123" s="49"/>
      <c r="E123" s="49"/>
      <c r="F123" s="49"/>
      <c r="G123" s="49"/>
      <c r="H123" s="49"/>
      <c r="I123" s="49">
        <f>IF(Talents!O36="No",B123*60,0)</f>
        <v>0</v>
      </c>
      <c r="P123" s="49"/>
      <c r="Q123" s="49"/>
      <c r="AD123" s="1335"/>
      <c r="AE123" s="1335"/>
      <c r="AF123" s="1335"/>
    </row>
    <row r="124" spans="1:32">
      <c r="A124" s="60" t="s">
        <v>1326</v>
      </c>
      <c r="B124" s="164">
        <v>0</v>
      </c>
      <c r="C124" s="57"/>
      <c r="D124" s="49"/>
      <c r="E124" s="49">
        <f>IF(Talents!O36="No",B124*25,0)</f>
        <v>0</v>
      </c>
      <c r="F124" s="49"/>
      <c r="G124" s="49"/>
      <c r="H124" s="49"/>
      <c r="I124" s="49"/>
      <c r="P124" s="49"/>
      <c r="Q124" s="49"/>
      <c r="AD124" s="1335"/>
      <c r="AE124" s="1335"/>
      <c r="AF124" s="1335"/>
    </row>
    <row r="125" spans="1:32">
      <c r="A125" s="869" t="s">
        <v>2883</v>
      </c>
      <c r="B125" s="164">
        <v>0</v>
      </c>
      <c r="C125" s="57"/>
      <c r="D125" s="22">
        <f>IF(Talents!O36="No",$B$125*15,0)</f>
        <v>0</v>
      </c>
      <c r="E125" s="22">
        <f>IF(Talents!O36="No",$B$125*15,0)</f>
        <v>0</v>
      </c>
      <c r="F125" s="22">
        <f>IF(Talents!O36="No",$B$125*15,0)</f>
        <v>0</v>
      </c>
      <c r="G125" s="49"/>
      <c r="H125" s="49"/>
      <c r="I125" s="49"/>
      <c r="P125" s="49"/>
      <c r="Q125" s="49"/>
      <c r="AD125" s="1335"/>
      <c r="AE125" s="1335"/>
      <c r="AF125" s="1335"/>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5"/>
      <c r="AE126" s="1335"/>
      <c r="AF126" s="1335"/>
    </row>
    <row r="127" spans="1:32">
      <c r="A127" s="870"/>
      <c r="B127" s="871"/>
      <c r="C127" s="872"/>
      <c r="D127" s="873"/>
      <c r="E127" s="874"/>
      <c r="F127" s="874"/>
      <c r="G127" s="874"/>
      <c r="H127" s="874"/>
      <c r="I127" s="874"/>
      <c r="J127" s="874"/>
      <c r="K127" s="875"/>
      <c r="L127" s="876"/>
      <c r="M127" s="876"/>
      <c r="N127" s="876"/>
      <c r="O127" s="876"/>
      <c r="P127" s="876"/>
      <c r="Q127" s="876"/>
      <c r="T127" s="31"/>
      <c r="Y127" s="27"/>
      <c r="Z127" s="27"/>
      <c r="AA127" s="27"/>
      <c r="AD127" s="1335"/>
      <c r="AE127" s="1335"/>
      <c r="AF127" s="1335"/>
    </row>
    <row r="128" spans="1:32">
      <c r="A128" s="869"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5"/>
      <c r="AE128" s="1335"/>
      <c r="AF128" s="1335"/>
    </row>
    <row r="129" spans="1:32">
      <c r="A129" s="60" t="s">
        <v>1901</v>
      </c>
      <c r="B129" s="164">
        <v>0</v>
      </c>
      <c r="C129" s="57"/>
      <c r="D129" s="58"/>
      <c r="E129" s="49">
        <f>IF(Talents!O36="No",B129*20,0)</f>
        <v>0</v>
      </c>
      <c r="F129" s="49"/>
      <c r="G129" s="49"/>
      <c r="H129" s="49"/>
      <c r="I129" s="49"/>
      <c r="T129" s="31"/>
      <c r="V129" s="27"/>
      <c r="W129" s="27"/>
      <c r="X129" s="27"/>
      <c r="Y129" s="27"/>
      <c r="Z129" s="63"/>
      <c r="AA129" s="19"/>
      <c r="AD129" s="1335"/>
      <c r="AE129" s="1335"/>
      <c r="AF129" s="1335"/>
    </row>
    <row r="130" spans="1:32">
      <c r="A130" s="60" t="s">
        <v>1902</v>
      </c>
      <c r="B130" s="164">
        <v>0</v>
      </c>
      <c r="C130" s="57"/>
      <c r="E130" s="49"/>
      <c r="F130" s="49"/>
      <c r="G130" s="49"/>
      <c r="H130" s="49"/>
      <c r="I130" s="22">
        <f>IF(Talents!O36="No",B130*40,0)</f>
        <v>0</v>
      </c>
      <c r="J130" s="49"/>
      <c r="T130" s="31"/>
      <c r="V130" s="27"/>
      <c r="X130" s="27"/>
      <c r="Y130" s="27"/>
      <c r="Z130" s="63"/>
      <c r="AA130" s="19"/>
      <c r="AD130" s="1335"/>
      <c r="AE130" s="1335"/>
      <c r="AF130" s="1335"/>
    </row>
    <row r="131" spans="1:32">
      <c r="A131" s="870"/>
      <c r="B131" s="871"/>
      <c r="C131" s="877"/>
      <c r="D131" s="875"/>
      <c r="E131" s="874"/>
      <c r="F131" s="874"/>
      <c r="G131" s="874"/>
      <c r="H131" s="874"/>
      <c r="I131" s="878"/>
      <c r="J131" s="874"/>
      <c r="K131" s="875"/>
      <c r="L131" s="876"/>
      <c r="M131" s="876"/>
      <c r="N131" s="876"/>
      <c r="O131" s="876"/>
      <c r="P131" s="876"/>
      <c r="Q131" s="876"/>
      <c r="T131" s="31"/>
      <c r="V131" s="27"/>
      <c r="X131" s="27"/>
      <c r="Y131" s="27"/>
      <c r="Z131" s="63"/>
      <c r="AA131" s="19"/>
      <c r="AD131" s="1335"/>
      <c r="AE131" s="1335"/>
      <c r="AF131" s="1335"/>
    </row>
    <row r="132" spans="1:32">
      <c r="A132" s="60" t="s">
        <v>1324</v>
      </c>
      <c r="B132" s="164">
        <v>1</v>
      </c>
      <c r="C132" s="57"/>
      <c r="E132" s="49">
        <f>IF(Talents!O36="No",B132*20,0)</f>
        <v>20</v>
      </c>
      <c r="F132" s="49"/>
      <c r="G132" s="49"/>
      <c r="H132" s="49"/>
      <c r="I132" s="49"/>
      <c r="T132" s="31"/>
      <c r="AD132" s="1335"/>
      <c r="AE132" s="1335"/>
      <c r="AF132" s="1335"/>
    </row>
    <row r="133" spans="1:32">
      <c r="A133" s="60" t="s">
        <v>1325</v>
      </c>
      <c r="B133" s="164">
        <v>1</v>
      </c>
      <c r="C133" s="57"/>
      <c r="D133" s="49">
        <f>IF(Talents!O36="No",B133*20,0)</f>
        <v>20</v>
      </c>
      <c r="E133" s="49"/>
      <c r="F133" s="49"/>
      <c r="G133" s="49"/>
      <c r="H133" s="49"/>
      <c r="J133" s="49"/>
      <c r="T133" s="31"/>
      <c r="AD133" s="1335"/>
      <c r="AE133" s="1335"/>
      <c r="AF133" s="1335"/>
    </row>
    <row r="134" spans="1:32">
      <c r="A134" s="870"/>
      <c r="B134" s="871"/>
      <c r="C134" s="877"/>
      <c r="D134" s="874"/>
      <c r="E134" s="874"/>
      <c r="F134" s="874"/>
      <c r="G134" s="874"/>
      <c r="H134" s="874"/>
      <c r="I134" s="875"/>
      <c r="J134" s="874"/>
      <c r="K134" s="875"/>
      <c r="L134" s="876"/>
      <c r="M134" s="876"/>
      <c r="N134" s="876"/>
      <c r="O134" s="876"/>
      <c r="P134" s="876"/>
      <c r="Q134" s="876"/>
      <c r="T134" s="31"/>
      <c r="AD134" s="1335"/>
      <c r="AE134" s="1335"/>
      <c r="AF134" s="1335"/>
    </row>
    <row r="135" spans="1:32">
      <c r="A135" s="60" t="s">
        <v>1333</v>
      </c>
      <c r="B135" s="164">
        <v>1</v>
      </c>
      <c r="C135" s="57"/>
      <c r="D135" s="49"/>
      <c r="E135" s="49"/>
      <c r="F135" s="49"/>
      <c r="G135" s="49"/>
      <c r="H135" s="49"/>
      <c r="I135" s="49"/>
      <c r="P135" s="23">
        <f>IF(Talents!O36="No",IF(time=0, B135*400*15/120, 0),0)</f>
        <v>0</v>
      </c>
      <c r="Q135" s="49"/>
      <c r="AD135" s="1335"/>
      <c r="AE135" s="1335"/>
      <c r="AF135" s="1335"/>
    </row>
    <row r="136" spans="1:32">
      <c r="A136" s="60" t="s">
        <v>1331</v>
      </c>
      <c r="B136" s="164">
        <v>1</v>
      </c>
      <c r="C136" s="57"/>
      <c r="D136" s="49"/>
      <c r="E136" s="49"/>
      <c r="F136" s="49"/>
      <c r="G136" s="49"/>
      <c r="H136" s="49"/>
      <c r="I136" s="49"/>
      <c r="P136" s="49">
        <f>IF(Talents!O36="No",IF(time=0, B136*80*30/120, 0),0)</f>
        <v>0</v>
      </c>
      <c r="Q136" s="49"/>
      <c r="AD136" s="1335"/>
      <c r="AE136" s="1335"/>
      <c r="AF136" s="1335"/>
    </row>
    <row r="137" spans="1:32" ht="13.5" customHeight="1">
      <c r="A137" s="60" t="s">
        <v>1330</v>
      </c>
      <c r="B137" s="164">
        <v>0</v>
      </c>
      <c r="C137" s="57"/>
      <c r="D137" s="49"/>
      <c r="E137" s="49"/>
      <c r="F137" s="49"/>
      <c r="G137" s="49"/>
      <c r="H137" s="49"/>
      <c r="I137" s="49">
        <f>IF(AND(Talents!O36="No",B136=0),IF(time=0, B137*60*30/120, 0),0)</f>
        <v>0</v>
      </c>
      <c r="P137" s="49"/>
      <c r="Q137" s="49"/>
      <c r="AD137" s="1335"/>
      <c r="AE137" s="1335"/>
      <c r="AF137" s="1335"/>
    </row>
    <row r="138" spans="1:32">
      <c r="A138" s="60" t="s">
        <v>1334</v>
      </c>
      <c r="B138" s="164">
        <v>1</v>
      </c>
      <c r="C138" s="57"/>
      <c r="D138" s="49"/>
      <c r="E138" s="49"/>
      <c r="F138" s="49"/>
      <c r="G138" s="49"/>
      <c r="H138" s="49"/>
      <c r="I138" s="49"/>
      <c r="P138" s="15"/>
      <c r="Q138" s="49"/>
      <c r="AD138" s="1335"/>
      <c r="AE138" s="1335"/>
      <c r="AF138" s="1335"/>
    </row>
    <row r="139" spans="1:32">
      <c r="A139" s="60" t="s">
        <v>1335</v>
      </c>
      <c r="B139" s="164">
        <v>0</v>
      </c>
      <c r="C139" s="57"/>
      <c r="D139" s="49"/>
      <c r="E139" s="49"/>
      <c r="F139" s="49"/>
      <c r="G139" s="49"/>
      <c r="H139" s="49"/>
      <c r="I139" s="49"/>
      <c r="P139" s="15"/>
      <c r="Q139" s="49"/>
      <c r="AD139" s="1335"/>
      <c r="AE139" s="1335"/>
      <c r="AF139" s="1335"/>
    </row>
    <row r="140" spans="1:32">
      <c r="A140" s="884" t="s">
        <v>2884</v>
      </c>
      <c r="B140" s="881">
        <v>0</v>
      </c>
      <c r="C140" s="57"/>
      <c r="D140" s="22"/>
      <c r="E140" s="22"/>
      <c r="F140" s="22"/>
      <c r="G140" s="22"/>
      <c r="H140" s="22">
        <f>IF(Talents!O36="No",B140*20,0)</f>
        <v>0</v>
      </c>
      <c r="I140" s="22"/>
      <c r="J140" s="21"/>
      <c r="K140" s="21"/>
      <c r="L140" s="50"/>
      <c r="M140" s="50"/>
      <c r="N140" s="50"/>
      <c r="O140" s="50"/>
      <c r="P140" s="22"/>
      <c r="Q140" s="22"/>
      <c r="AD140" s="1335"/>
      <c r="AE140" s="1335"/>
      <c r="AF140" s="1335"/>
    </row>
    <row r="141" spans="1:32">
      <c r="A141" s="60"/>
      <c r="B141" s="164"/>
      <c r="C141" s="27"/>
      <c r="D141" s="22"/>
      <c r="E141" s="49"/>
      <c r="F141" s="49"/>
      <c r="G141" s="49"/>
      <c r="H141" s="49"/>
      <c r="I141" s="49"/>
      <c r="P141" s="49"/>
      <c r="Q141" s="49"/>
      <c r="AD141" s="1335"/>
      <c r="AE141" s="1335"/>
      <c r="AF141" s="1335"/>
    </row>
    <row r="142" spans="1:32" ht="13.5" thickBot="1">
      <c r="B142" s="15"/>
      <c r="C142" s="15"/>
      <c r="D142" s="189"/>
      <c r="E142" s="15"/>
      <c r="F142" s="15"/>
      <c r="G142" s="15"/>
      <c r="H142" s="15"/>
      <c r="I142" s="15"/>
      <c r="J142" s="15"/>
      <c r="K142" s="15"/>
      <c r="L142" s="15"/>
      <c r="M142" s="15"/>
      <c r="N142" s="15"/>
      <c r="O142" s="15"/>
      <c r="P142" s="15"/>
      <c r="Q142" s="15"/>
      <c r="R142" s="15"/>
      <c r="S142" s="15"/>
      <c r="AD142" s="1335"/>
      <c r="AE142" s="1335"/>
      <c r="AF142" s="1335"/>
    </row>
    <row r="143" spans="1:32" ht="13.5" thickBot="1">
      <c r="B143" s="1439" t="s">
        <v>3043</v>
      </c>
      <c r="C143" s="1440"/>
      <c r="D143" s="1147">
        <f>D78+SUM(D80:D141)</f>
        <v>262.68</v>
      </c>
      <c r="E143" s="1147">
        <f>E78+SUM(E80:E141)*(1+Talents!F33/100)*(1+Talents!I36*3/100)</f>
        <v>787.66628120336588</v>
      </c>
      <c r="F143" s="1147">
        <f>F78+SUM(F80:F141)*(1+Talents!F33/50)</f>
        <v>615.59680000000003</v>
      </c>
      <c r="G143" s="1147">
        <f>SUM(G78:G141)</f>
        <v>159.38461538461539</v>
      </c>
      <c r="H143" s="1147">
        <f>SUM(H78:H141)</f>
        <v>440.84615384615381</v>
      </c>
      <c r="I143" s="1147">
        <f>(SUM(I10:I76)+SUM(I82:I142)+D143+E143+120+Y33+IF(time=0,0,'Cooldowns Calc'!Z1))*deadliness*(1+IF(Talents!O36="No",unlrage*0.1,0))+1*deadliness*(1+unlrage*0.1)+1*deadliness*(1+unlrage*0.1)</f>
        <v>3165.5289383329646</v>
      </c>
      <c r="J143" s="1147">
        <f>SUM(J78:J141)</f>
        <v>0</v>
      </c>
      <c r="K143" s="1147">
        <f>SUM(K78:K141)</f>
        <v>0</v>
      </c>
      <c r="L143" s="1147">
        <f>SUM(L78:L141)</f>
        <v>53.42307692307692</v>
      </c>
      <c r="M143" s="1147">
        <f>SUM(M78:M141)</f>
        <v>0</v>
      </c>
      <c r="N143" s="1147"/>
      <c r="O143" s="1147"/>
      <c r="P143" s="1147">
        <f>SUM(P78:P142)</f>
        <v>127.49804426656831</v>
      </c>
      <c r="Q143" s="1148">
        <f>SUM(Q78:Q142)</f>
        <v>4010</v>
      </c>
      <c r="AD143" s="1335"/>
      <c r="AE143" s="1335"/>
      <c r="AF143" s="1335"/>
    </row>
    <row r="144" spans="1:32">
      <c r="Q144" s="15"/>
      <c r="R144" s="15"/>
      <c r="S144" s="15"/>
      <c r="AD144" s="1335"/>
      <c r="AE144" s="1335"/>
      <c r="AF144" s="1335"/>
    </row>
    <row r="145" spans="1:32" ht="13.5" thickBot="1">
      <c r="A145" s="312" t="s">
        <v>1678</v>
      </c>
      <c r="Q145" s="15"/>
      <c r="R145" s="15"/>
      <c r="S145" s="15"/>
      <c r="AD145" s="1335"/>
      <c r="AE145" s="1335"/>
      <c r="AF145" s="1335"/>
    </row>
    <row r="146" spans="1:32" ht="13.5" thickBot="1">
      <c r="B146" s="646" t="s">
        <v>1598</v>
      </c>
      <c r="C146" s="616"/>
      <c r="D146" s="633" t="s">
        <v>1213</v>
      </c>
      <c r="E146" s="633" t="s">
        <v>1214</v>
      </c>
      <c r="F146" s="633" t="s">
        <v>1215</v>
      </c>
      <c r="G146" s="634" t="s">
        <v>2139</v>
      </c>
      <c r="H146" s="634" t="s">
        <v>2138</v>
      </c>
      <c r="I146" s="633" t="s">
        <v>767</v>
      </c>
      <c r="J146" s="633" t="s">
        <v>1216</v>
      </c>
      <c r="K146" s="633" t="s">
        <v>2143</v>
      </c>
      <c r="L146" s="635" t="s">
        <v>1581</v>
      </c>
      <c r="M146" s="633" t="s">
        <v>2165</v>
      </c>
      <c r="N146" s="633"/>
      <c r="O146" s="633"/>
      <c r="P146" s="635" t="s">
        <v>770</v>
      </c>
      <c r="Q146" s="636" t="s">
        <v>769</v>
      </c>
      <c r="R146" s="635" t="s">
        <v>1219</v>
      </c>
      <c r="S146" s="635" t="s">
        <v>1727</v>
      </c>
      <c r="T146" s="635" t="s">
        <v>1221</v>
      </c>
      <c r="U146" s="635" t="s">
        <v>1222</v>
      </c>
      <c r="V146" s="637" t="s">
        <v>1223</v>
      </c>
      <c r="AD146" s="1335"/>
      <c r="AE146" s="1335"/>
      <c r="AF146" s="1335"/>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5"/>
      <c r="AE147" s="1335"/>
      <c r="AF147" s="1335"/>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5"/>
      <c r="AE148" s="1335"/>
      <c r="AF148" s="1335"/>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5"/>
      <c r="AE149" s="1335"/>
      <c r="AF149" s="1335"/>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5"/>
      <c r="AE150" s="1335"/>
      <c r="AF150" s="1335"/>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5"/>
      <c r="AE151" s="1335"/>
      <c r="AF151" s="1335"/>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5"/>
      <c r="AE152" s="1335"/>
      <c r="AF152" s="1335"/>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5"/>
      <c r="AE153" s="1335"/>
      <c r="AF153" s="1335"/>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5"/>
      <c r="AE154" s="1335"/>
      <c r="AF154" s="1335"/>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5"/>
      <c r="AE155" s="1335"/>
      <c r="AF155" s="1335"/>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5"/>
      <c r="AE156" s="1335"/>
      <c r="AF156" s="1335"/>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5"/>
      <c r="AE157" s="1335"/>
      <c r="AF157" s="1335"/>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5"/>
      <c r="AE158" s="1335"/>
      <c r="AF158" s="1335"/>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5"/>
      <c r="AE159" s="1335"/>
      <c r="AF159" s="1335"/>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5"/>
      <c r="AE160" s="1335"/>
      <c r="AF160" s="1335"/>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5"/>
      <c r="AE161" s="1335"/>
      <c r="AF161" s="1335"/>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5"/>
      <c r="AE162" s="1335"/>
      <c r="AF162" s="1335"/>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5"/>
      <c r="AE163" s="1335"/>
      <c r="AF163" s="1335"/>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5"/>
      <c r="AE164" s="1335"/>
      <c r="AF164" s="1335"/>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5"/>
      <c r="AE165" s="1335"/>
      <c r="AF165" s="1335"/>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5"/>
      <c r="AE166" s="1335"/>
      <c r="AF166" s="1335"/>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5"/>
      <c r="AE167" s="1335"/>
      <c r="AF167" s="1335"/>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5"/>
      <c r="AE168" s="1335"/>
      <c r="AF168" s="1335"/>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5"/>
      <c r="AE169" s="1335"/>
      <c r="AF169" s="1335"/>
    </row>
    <row r="170" spans="1:32">
      <c r="AD170" s="1335"/>
      <c r="AE170" s="1335"/>
      <c r="AF170" s="1335"/>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pane ySplit="8" topLeftCell="A9" activePane="bottomLeft" state="frozen"/>
      <selection pane="bottomLeft"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2" t="s">
        <v>593</v>
      </c>
      <c r="F2" s="1012">
        <f>ap</f>
        <v>3165.5289383329646</v>
      </c>
      <c r="G2" s="903" t="s">
        <v>598</v>
      </c>
      <c r="H2" s="1012">
        <f>hp</f>
        <v>9674</v>
      </c>
      <c r="I2" s="1477"/>
      <c r="J2" s="1478"/>
      <c r="K2" s="1479"/>
      <c r="L2" s="904"/>
      <c r="M2" s="1499" t="s">
        <v>2319</v>
      </c>
      <c r="N2" s="1500"/>
      <c r="O2" s="1020"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08" t="s">
        <v>594</v>
      </c>
      <c r="F3" s="1009">
        <f>'Damage Calc'!Q2-Talents!F4</f>
        <v>0.26956097560975611</v>
      </c>
      <c r="G3" s="1008" t="s">
        <v>599</v>
      </c>
      <c r="H3" s="1009">
        <f>dodge</f>
        <v>0.38193314060168293</v>
      </c>
      <c r="I3" s="1480" t="s">
        <v>2315</v>
      </c>
      <c r="J3" s="1481"/>
      <c r="K3" s="1482"/>
      <c r="L3" s="1013">
        <f>CEILING(($F$4*100)*(10*conv),1)</f>
        <v>1</v>
      </c>
      <c r="M3" s="1513" t="str">
        <f>"  "&amp;instatklng&amp;" DPS"</f>
        <v xml:space="preserve">  Sinister Strike DPS</v>
      </c>
      <c r="N3" s="1514"/>
      <c r="O3" s="1077" t="str">
        <f>ROUND('Damage Calc'!$J$8,2)&amp;"  "</f>
        <v xml:space="preserve">327.58  </v>
      </c>
      <c r="P3" s="1495" t="str">
        <f>ROUND('Damage Calc'!$J$8/'Damage Calc'!$J$16*100,0)&amp;"%  "</f>
        <v xml:space="preserve">21%  </v>
      </c>
      <c r="Q3" s="1496"/>
    </row>
    <row r="4" spans="1:26" ht="12.75" customHeight="1" thickBot="1">
      <c r="A4" s="1459"/>
      <c r="B4" s="1472"/>
      <c r="C4" s="1472"/>
      <c r="D4" s="1473"/>
      <c r="E4" s="1074" t="s">
        <v>595</v>
      </c>
      <c r="F4" s="1014">
        <f>bMHmiss</f>
        <v>4.3902439024390283E-4</v>
      </c>
      <c r="G4" s="1015" t="s">
        <v>600</v>
      </c>
      <c r="H4" s="1016">
        <f>'Gear &amp; Buffs'!$J$143</f>
        <v>0</v>
      </c>
      <c r="I4" s="1483" t="s">
        <v>2316</v>
      </c>
      <c r="J4" s="1456"/>
      <c r="K4" s="1457"/>
      <c r="L4" s="1073">
        <f>'Damage Calc'!D34</f>
        <v>30</v>
      </c>
      <c r="M4" s="1515" t="s">
        <v>2320</v>
      </c>
      <c r="N4" s="1516"/>
      <c r="O4" s="1021" t="str">
        <f>ROUND('Damage Calc'!$J$10+'Damage Calc'!$J$11+'Damage Calc'!$J$12,2)&amp;"  "</f>
        <v xml:space="preserve">119.18  </v>
      </c>
      <c r="P4" s="1497" t="str">
        <f>ROUND(('Damage Calc'!$J$10+'Damage Calc'!$J$11+'Damage Calc'!$J$12)/'Damage Calc'!$J$16*100,0)&amp;"%  "</f>
        <v xml:space="preserve">8%  </v>
      </c>
      <c r="Q4" s="1498"/>
    </row>
    <row r="5" spans="1:26" ht="12.75" customHeight="1" thickBot="1">
      <c r="A5" s="1005" t="s">
        <v>1136</v>
      </c>
      <c r="B5" s="1460">
        <f>'Gear &amp; Buffs'!$C$7</f>
        <v>1555.182530256119</v>
      </c>
      <c r="C5" s="1460"/>
      <c r="D5" s="1461"/>
      <c r="E5" s="1008" t="s">
        <v>596</v>
      </c>
      <c r="F5" s="1009">
        <f>bMHcrit</f>
        <v>0.22111169225206101</v>
      </c>
      <c r="G5" s="1078" t="s">
        <v>1320</v>
      </c>
      <c r="H5" s="1009">
        <f>('Gear &amp; Buffs'!J143/(25*conv)+Talents!I17)/100</f>
        <v>0</v>
      </c>
      <c r="I5" s="1484"/>
      <c r="J5" s="1481"/>
      <c r="K5" s="1482"/>
      <c r="L5" s="1017"/>
      <c r="M5" s="1517" t="s">
        <v>2321</v>
      </c>
      <c r="N5" s="1518"/>
      <c r="O5" s="1079"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2" t="s">
        <v>589</v>
      </c>
      <c r="B6" s="1153" t="str">
        <f>IF(($B$3-$B$5)&lt;0,ROUND($B$3-$B$5,2),"+"&amp;ROUND($B$3-$B$5,2))</f>
        <v>+0</v>
      </c>
      <c r="C6" s="1154"/>
      <c r="D6" s="1155" t="str">
        <f>IF(($B$6/$B$3)&lt;0,ROUND($B$6/$B$3*100,2)&amp;"%","+"&amp;ROUND($B$6/$B$3*100,2)&amp;"%")</f>
        <v>+0%</v>
      </c>
      <c r="E6" s="928" t="s">
        <v>634</v>
      </c>
      <c r="F6" s="1014">
        <f>bMHdod</f>
        <v>2.0000000000000004E-2</v>
      </c>
      <c r="G6" s="1018" t="s">
        <v>601</v>
      </c>
      <c r="H6" s="1014">
        <f>5%-((BossLevel-CharLevel)*0.2%)+(F18/100)+(ROUNDDOWN('Gear &amp; Buffs'!M143/defrating_def,0)*0.04/100)</f>
        <v>4.4000000000000004E-2</v>
      </c>
      <c r="I6" s="1455" t="s">
        <v>2317</v>
      </c>
      <c r="J6" s="1456"/>
      <c r="K6" s="1457"/>
      <c r="L6" s="1014">
        <f>sndup</f>
        <v>0.9966666666666667</v>
      </c>
      <c r="M6" s="1539" t="s">
        <v>2322</v>
      </c>
      <c r="N6" s="1540"/>
      <c r="O6" s="1006" t="str">
        <f>ROUND('Damage Calc'!$J$16,2)&amp;"  "</f>
        <v xml:space="preserve">1555.18  </v>
      </c>
      <c r="P6" s="1537" t="str">
        <f>"100%  "</f>
        <v xml:space="preserve">100%  </v>
      </c>
      <c r="Q6" s="1538"/>
    </row>
    <row r="7" spans="1:26" ht="12.75" customHeight="1">
      <c r="A7" s="1503"/>
      <c r="B7" s="1504"/>
      <c r="C7" s="1504"/>
      <c r="D7" s="1505"/>
      <c r="E7" s="1008" t="s">
        <v>633</v>
      </c>
      <c r="F7" s="1009">
        <f>bMHpar</f>
        <v>0</v>
      </c>
      <c r="G7" s="1078" t="s">
        <v>2167</v>
      </c>
      <c r="H7" s="1009">
        <f>MAX(5%+0.2%*(CharLevel-BossLevel)+(ROUNDDOWN('Gear &amp; Buffs'!M143/defrating_def,0)*0.04/100),0%)</f>
        <v>4.4000000000000004E-2</v>
      </c>
      <c r="I7" s="1484" t="s">
        <v>2318</v>
      </c>
      <c r="J7" s="1481"/>
      <c r="K7" s="1482"/>
      <c r="L7" s="1019">
        <f>ruptup</f>
        <v>0.98</v>
      </c>
      <c r="M7" s="1509" t="s">
        <v>2323</v>
      </c>
      <c r="N7" s="1510"/>
      <c r="O7" s="1007" t="str">
        <f>ROUND('Gear &amp; Buffs'!$C$7,2)&amp;"  "</f>
        <v xml:space="preserve">1555.18  </v>
      </c>
      <c r="P7" s="1543"/>
      <c r="Q7" s="1544"/>
    </row>
    <row r="8" spans="1:26" ht="12.75" customHeight="1" thickBot="1">
      <c r="A8" s="1506"/>
      <c r="B8" s="1507"/>
      <c r="C8" s="1507"/>
      <c r="D8" s="1508"/>
      <c r="E8" s="1010" t="s">
        <v>597</v>
      </c>
      <c r="F8" s="1075">
        <f>'Damage Calc'!$Q$42</f>
        <v>4010</v>
      </c>
      <c r="G8" s="1010" t="s">
        <v>2166</v>
      </c>
      <c r="H8" s="1011">
        <f>H3+H6+H7</f>
        <v>0.4699331406016829</v>
      </c>
      <c r="I8" s="1557" t="s">
        <v>1177</v>
      </c>
      <c r="J8" s="1558"/>
      <c r="K8" s="1559"/>
      <c r="L8" s="1076">
        <f>B3*0.71</f>
        <v>1104.1795964818443</v>
      </c>
      <c r="M8" s="1511" t="s">
        <v>2265</v>
      </c>
      <c r="N8" s="1512"/>
      <c r="O8" s="1022"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1403"/>
      <c r="B10" s="1404"/>
      <c r="C10" s="1404"/>
      <c r="D10" s="1002"/>
      <c r="E10" s="1002">
        <v>1</v>
      </c>
      <c r="F10" s="1002">
        <v>1</v>
      </c>
      <c r="G10" s="1404"/>
      <c r="H10" s="1404"/>
      <c r="I10" s="1405"/>
      <c r="K10" s="991"/>
      <c r="L10" s="997"/>
      <c r="M10" s="998"/>
      <c r="N10" s="998"/>
      <c r="O10" s="999"/>
      <c r="P10"/>
      <c r="Q10"/>
      <c r="R10" s="281">
        <v>1</v>
      </c>
      <c r="S10"/>
      <c r="T10"/>
      <c r="U10"/>
      <c r="V10"/>
      <c r="W10"/>
      <c r="X10"/>
      <c r="Y10"/>
    </row>
    <row r="11" spans="1:26" s="64" customFormat="1" ht="21.75" customHeight="1" thickBot="1">
      <c r="A11" s="986"/>
      <c r="B11" s="987"/>
      <c r="C11" s="987"/>
      <c r="D11" s="1547" t="s">
        <v>182</v>
      </c>
      <c r="E11" s="1547">
        <v>1</v>
      </c>
      <c r="F11" s="1547"/>
      <c r="G11" s="987"/>
      <c r="H11" s="987"/>
      <c r="I11" s="988"/>
      <c r="J11"/>
      <c r="K11" s="1000"/>
      <c r="L11" s="992"/>
      <c r="M11" s="992"/>
      <c r="N11" s="992"/>
      <c r="O11" s="1001"/>
      <c r="S11"/>
      <c r="T11"/>
      <c r="U11"/>
      <c r="V11"/>
      <c r="W11"/>
      <c r="X11"/>
      <c r="Y11"/>
      <c r="Z11"/>
    </row>
    <row r="12" spans="1:26" ht="21.75" customHeight="1" thickBot="1">
      <c r="A12" s="1501" t="s">
        <v>2145</v>
      </c>
      <c r="B12" s="1502"/>
      <c r="C12" s="1502"/>
      <c r="D12" s="1545" t="s">
        <v>2146</v>
      </c>
      <c r="E12" s="1502"/>
      <c r="F12" s="1502"/>
      <c r="G12" s="1545" t="s">
        <v>248</v>
      </c>
      <c r="H12" s="1502"/>
      <c r="I12" s="1546"/>
      <c r="K12" s="1003" t="s">
        <v>860</v>
      </c>
      <c r="L12" s="1004"/>
      <c r="M12" s="1004"/>
      <c r="N12" s="1004"/>
      <c r="O12" s="999"/>
    </row>
    <row r="13" spans="1:26" ht="12.75" customHeight="1" thickBot="1">
      <c r="A13" s="1096" t="s">
        <v>2147</v>
      </c>
      <c r="B13" s="989"/>
      <c r="C13" s="1097" t="s">
        <v>2148</v>
      </c>
      <c r="D13" s="1100" t="s">
        <v>2147</v>
      </c>
      <c r="E13" s="990"/>
      <c r="F13" s="1101" t="s">
        <v>2148</v>
      </c>
      <c r="G13" s="1098" t="s">
        <v>2147</v>
      </c>
      <c r="H13" s="1098"/>
      <c r="I13" s="1099" t="s">
        <v>2148</v>
      </c>
      <c r="K13" s="1554" t="s">
        <v>880</v>
      </c>
      <c r="L13" s="1555"/>
      <c r="M13" s="1555"/>
      <c r="N13" s="1555">
        <v>1</v>
      </c>
      <c r="O13" s="1556"/>
      <c r="Q13" s="1548" t="s">
        <v>881</v>
      </c>
      <c r="R13" s="1549"/>
      <c r="S13" s="1549"/>
      <c r="T13" s="1549"/>
      <c r="U13" s="1549"/>
      <c r="V13" s="1550"/>
    </row>
    <row r="14" spans="1:26" ht="12.75" customHeight="1">
      <c r="A14" s="943" t="s">
        <v>134</v>
      </c>
      <c r="B14" s="944"/>
      <c r="C14" s="945">
        <v>0</v>
      </c>
      <c r="D14" s="946" t="s">
        <v>1510</v>
      </c>
      <c r="E14" s="947"/>
      <c r="F14" s="948">
        <v>3</v>
      </c>
      <c r="G14" s="949" t="s">
        <v>1512</v>
      </c>
      <c r="H14" s="950"/>
      <c r="I14" s="951">
        <v>0</v>
      </c>
      <c r="K14" s="1372" t="s">
        <v>2861</v>
      </c>
      <c r="L14" s="1052"/>
      <c r="M14" s="1052"/>
      <c r="N14" s="1373"/>
      <c r="O14" s="1063">
        <v>70</v>
      </c>
      <c r="Q14" s="1037">
        <v>8800</v>
      </c>
      <c r="R14" s="1038" t="s">
        <v>498</v>
      </c>
      <c r="S14" s="1039"/>
      <c r="T14" s="1039"/>
      <c r="U14" s="1039"/>
      <c r="V14" s="1040"/>
    </row>
    <row r="15" spans="1:26" ht="12.75" customHeight="1">
      <c r="A15" s="952" t="s">
        <v>1511</v>
      </c>
      <c r="B15" s="953"/>
      <c r="C15" s="954">
        <v>0</v>
      </c>
      <c r="D15" s="955" t="s">
        <v>2149</v>
      </c>
      <c r="E15" s="956"/>
      <c r="F15" s="957">
        <v>2</v>
      </c>
      <c r="G15" s="955" t="s">
        <v>2153</v>
      </c>
      <c r="H15" s="956"/>
      <c r="I15" s="958">
        <v>0</v>
      </c>
      <c r="K15" s="1372" t="s">
        <v>833</v>
      </c>
      <c r="L15" s="1052"/>
      <c r="M15" s="1052"/>
      <c r="N15" s="1373"/>
      <c r="O15" s="1063">
        <v>73</v>
      </c>
      <c r="Q15" s="924">
        <v>7685</v>
      </c>
      <c r="R15" s="925" t="s">
        <v>698</v>
      </c>
      <c r="S15" s="926"/>
      <c r="T15" s="926"/>
      <c r="U15" s="926"/>
      <c r="V15" s="927"/>
    </row>
    <row r="16" spans="1:26" ht="12.75" customHeight="1">
      <c r="A16" s="961" t="s">
        <v>135</v>
      </c>
      <c r="B16" s="959"/>
      <c r="C16" s="960">
        <v>5</v>
      </c>
      <c r="D16" s="961" t="s">
        <v>2151</v>
      </c>
      <c r="E16" s="959"/>
      <c r="F16" s="958">
        <v>0</v>
      </c>
      <c r="G16" s="962"/>
      <c r="H16" s="963"/>
      <c r="I16" s="964"/>
      <c r="K16" s="1374" t="s">
        <v>1296</v>
      </c>
      <c r="L16" s="1052"/>
      <c r="M16" s="1052"/>
      <c r="N16" s="1373"/>
      <c r="O16" s="1064" t="s">
        <v>1733</v>
      </c>
      <c r="Q16" s="924"/>
      <c r="R16" s="925" t="s">
        <v>3074</v>
      </c>
      <c r="S16" s="926"/>
      <c r="T16" s="926"/>
      <c r="U16" s="926"/>
      <c r="V16" s="927"/>
    </row>
    <row r="17" spans="1:22" ht="12.75" customHeight="1">
      <c r="A17" s="905" t="s">
        <v>2155</v>
      </c>
      <c r="B17" s="906"/>
      <c r="C17" s="907">
        <v>3</v>
      </c>
      <c r="D17" s="928" t="s">
        <v>2220</v>
      </c>
      <c r="E17" s="929"/>
      <c r="F17" s="910">
        <v>3</v>
      </c>
      <c r="G17" s="911" t="s">
        <v>1513</v>
      </c>
      <c r="H17" s="912"/>
      <c r="I17" s="913">
        <v>0</v>
      </c>
      <c r="K17" s="1372" t="s">
        <v>1211</v>
      </c>
      <c r="L17" s="1052"/>
      <c r="M17" s="1052"/>
      <c r="N17" s="1373"/>
      <c r="O17" s="1065" t="s">
        <v>144</v>
      </c>
      <c r="Q17" s="924" t="s">
        <v>882</v>
      </c>
      <c r="R17" s="925" t="s">
        <v>699</v>
      </c>
      <c r="S17" s="926"/>
      <c r="T17" s="926"/>
      <c r="U17" s="926"/>
      <c r="V17" s="927"/>
    </row>
    <row r="18" spans="1:22" ht="12.75" customHeight="1">
      <c r="A18" s="905" t="s">
        <v>411</v>
      </c>
      <c r="B18" s="906"/>
      <c r="C18" s="907">
        <v>2</v>
      </c>
      <c r="D18" s="908" t="s">
        <v>1514</v>
      </c>
      <c r="E18" s="909"/>
      <c r="F18" s="910">
        <v>0</v>
      </c>
      <c r="G18" s="911" t="s">
        <v>1515</v>
      </c>
      <c r="H18" s="912"/>
      <c r="I18" s="913">
        <v>0</v>
      </c>
      <c r="K18" s="1055" t="s">
        <v>2041</v>
      </c>
      <c r="L18" s="1052"/>
      <c r="M18" s="1052"/>
      <c r="N18" s="1373"/>
      <c r="O18" s="1065" t="s">
        <v>144</v>
      </c>
      <c r="Q18" s="924"/>
      <c r="R18" s="925" t="s">
        <v>3075</v>
      </c>
      <c r="S18" s="926"/>
      <c r="T18" s="926"/>
      <c r="U18" s="926"/>
      <c r="V18" s="927"/>
    </row>
    <row r="19" spans="1:22" ht="12.75" customHeight="1">
      <c r="A19" s="905" t="s">
        <v>628</v>
      </c>
      <c r="B19" s="906"/>
      <c r="C19" s="907">
        <v>0</v>
      </c>
      <c r="D19" s="905" t="s">
        <v>2221</v>
      </c>
      <c r="E19" s="909"/>
      <c r="F19" s="930">
        <v>5</v>
      </c>
      <c r="G19" s="911" t="s">
        <v>1516</v>
      </c>
      <c r="H19" s="912"/>
      <c r="I19" s="913">
        <v>0</v>
      </c>
      <c r="K19" s="1049" t="s">
        <v>3000</v>
      </c>
      <c r="L19" s="1050"/>
      <c r="M19" s="1050"/>
      <c r="N19" s="1051"/>
      <c r="O19" s="1065" t="s">
        <v>750</v>
      </c>
      <c r="Q19" s="924"/>
      <c r="R19" s="925" t="s">
        <v>3076</v>
      </c>
      <c r="S19" s="926"/>
      <c r="T19" s="926"/>
      <c r="U19" s="926"/>
      <c r="V19" s="927"/>
    </row>
    <row r="20" spans="1:22" ht="12.75" customHeight="1">
      <c r="A20" s="955" t="s">
        <v>163</v>
      </c>
      <c r="B20" s="956"/>
      <c r="C20" s="965">
        <v>1</v>
      </c>
      <c r="D20" s="966" t="s">
        <v>1517</v>
      </c>
      <c r="E20" s="967"/>
      <c r="F20" s="968">
        <v>0</v>
      </c>
      <c r="G20" s="969" t="s">
        <v>1518</v>
      </c>
      <c r="H20" s="967"/>
      <c r="I20" s="970">
        <v>0</v>
      </c>
      <c r="K20" s="1055" t="s">
        <v>1295</v>
      </c>
      <c r="L20" s="1052"/>
      <c r="M20" s="1052"/>
      <c r="N20" s="1373"/>
      <c r="O20" s="1064">
        <v>7685</v>
      </c>
      <c r="Q20" s="924"/>
      <c r="R20" s="925" t="s">
        <v>3073</v>
      </c>
      <c r="S20" s="926"/>
      <c r="T20" s="926"/>
      <c r="U20" s="926"/>
      <c r="V20" s="927"/>
    </row>
    <row r="21" spans="1:22" ht="12.75" customHeight="1" thickBot="1">
      <c r="A21" s="978" t="s">
        <v>1519</v>
      </c>
      <c r="B21" s="979"/>
      <c r="C21" s="973">
        <v>0</v>
      </c>
      <c r="D21" s="966" t="s">
        <v>1520</v>
      </c>
      <c r="E21" s="967"/>
      <c r="F21" s="968">
        <v>0</v>
      </c>
      <c r="G21" s="971" t="s">
        <v>1184</v>
      </c>
      <c r="H21" s="967"/>
      <c r="I21" s="957">
        <v>0</v>
      </c>
      <c r="K21" s="1055" t="s">
        <v>63</v>
      </c>
      <c r="L21" s="1052"/>
      <c r="M21" s="1052"/>
      <c r="N21" s="1373"/>
      <c r="O21" s="1065" t="s">
        <v>668</v>
      </c>
      <c r="Q21" s="1041">
        <v>6800</v>
      </c>
      <c r="R21" s="1042" t="s">
        <v>1399</v>
      </c>
      <c r="S21" s="1043"/>
      <c r="T21" s="1043"/>
      <c r="U21" s="1043"/>
      <c r="V21" s="1044"/>
    </row>
    <row r="22" spans="1:22" ht="12.75" customHeight="1" thickBot="1">
      <c r="A22" s="961" t="s">
        <v>2226</v>
      </c>
      <c r="B22" s="972"/>
      <c r="C22" s="973">
        <v>5</v>
      </c>
      <c r="D22" s="966" t="s">
        <v>1606</v>
      </c>
      <c r="E22" s="967"/>
      <c r="F22" s="968">
        <v>2</v>
      </c>
      <c r="G22" s="969" t="s">
        <v>1607</v>
      </c>
      <c r="H22" s="967"/>
      <c r="I22" s="970">
        <v>0</v>
      </c>
      <c r="K22" s="1551" t="s">
        <v>308</v>
      </c>
      <c r="L22" s="1552"/>
      <c r="M22" s="1552"/>
      <c r="N22" s="1552"/>
      <c r="O22" s="1553"/>
      <c r="Q22" s="924">
        <v>6200</v>
      </c>
      <c r="R22" s="925" t="s">
        <v>1144</v>
      </c>
      <c r="S22" s="926"/>
      <c r="T22" s="926"/>
      <c r="U22" s="926"/>
      <c r="V22" s="927"/>
    </row>
    <row r="23" spans="1:22" ht="12.75" customHeight="1">
      <c r="A23" s="914" t="s">
        <v>632</v>
      </c>
      <c r="B23" s="915"/>
      <c r="C23" s="916">
        <v>3</v>
      </c>
      <c r="D23" s="911" t="s">
        <v>413</v>
      </c>
      <c r="E23" s="909"/>
      <c r="F23" s="913">
        <v>0</v>
      </c>
      <c r="G23" s="911" t="s">
        <v>1608</v>
      </c>
      <c r="H23" s="931"/>
      <c r="I23" s="913">
        <v>0</v>
      </c>
      <c r="K23" s="1055" t="s">
        <v>1008</v>
      </c>
      <c r="L23" s="1052"/>
      <c r="M23" s="1052"/>
      <c r="N23" s="1056"/>
      <c r="O23" s="1066" t="s">
        <v>1010</v>
      </c>
      <c r="Q23" s="924"/>
      <c r="R23" s="925" t="s">
        <v>3077</v>
      </c>
      <c r="S23" s="926"/>
      <c r="T23" s="926"/>
      <c r="U23" s="926"/>
      <c r="V23" s="927"/>
    </row>
    <row r="24" spans="1:22" ht="12.75" customHeight="1">
      <c r="A24" s="914" t="s">
        <v>412</v>
      </c>
      <c r="B24" s="915"/>
      <c r="C24" s="916">
        <v>0</v>
      </c>
      <c r="D24" s="917" t="s">
        <v>414</v>
      </c>
      <c r="E24" s="918"/>
      <c r="F24" s="919">
        <v>0</v>
      </c>
      <c r="G24" s="920" t="s">
        <v>1609</v>
      </c>
      <c r="H24" s="921"/>
      <c r="I24" s="922">
        <v>0</v>
      </c>
      <c r="K24" s="1055" t="s">
        <v>1009</v>
      </c>
      <c r="L24" s="1052"/>
      <c r="M24" s="1052"/>
      <c r="N24" s="1057" t="b">
        <v>0</v>
      </c>
      <c r="O24" s="1067">
        <v>0.3</v>
      </c>
      <c r="Q24" s="924"/>
      <c r="R24" s="925" t="s">
        <v>3078</v>
      </c>
      <c r="S24" s="926"/>
      <c r="T24" s="926"/>
      <c r="U24" s="926"/>
      <c r="V24" s="927"/>
    </row>
    <row r="25" spans="1:22" ht="12.75" customHeight="1">
      <c r="A25" s="932"/>
      <c r="B25" s="931"/>
      <c r="C25" s="931"/>
      <c r="D25" s="917" t="s">
        <v>415</v>
      </c>
      <c r="E25" s="918"/>
      <c r="F25" s="919">
        <v>5</v>
      </c>
      <c r="G25" s="914" t="s">
        <v>2150</v>
      </c>
      <c r="H25" s="915"/>
      <c r="I25" s="923">
        <v>0</v>
      </c>
      <c r="K25" s="1055" t="s">
        <v>748</v>
      </c>
      <c r="L25" s="1052"/>
      <c r="M25" s="1052"/>
      <c r="N25" s="1056"/>
      <c r="O25" s="1068" t="s">
        <v>144</v>
      </c>
      <c r="Q25" s="937"/>
      <c r="R25" s="938" t="s">
        <v>3079</v>
      </c>
      <c r="S25" s="939"/>
      <c r="T25" s="939"/>
      <c r="U25" s="939"/>
      <c r="V25" s="940"/>
    </row>
    <row r="26" spans="1:22" ht="12.75" customHeight="1">
      <c r="A26" s="952" t="s">
        <v>1610</v>
      </c>
      <c r="B26" s="963"/>
      <c r="C26" s="954">
        <v>0</v>
      </c>
      <c r="D26" s="961" t="s">
        <v>416</v>
      </c>
      <c r="E26" s="959"/>
      <c r="F26" s="957">
        <v>0</v>
      </c>
      <c r="G26" s="952" t="s">
        <v>1611</v>
      </c>
      <c r="H26" s="963"/>
      <c r="I26" s="974">
        <v>0</v>
      </c>
      <c r="K26" s="1055" t="s">
        <v>754</v>
      </c>
      <c r="L26" s="1042"/>
      <c r="M26" s="1042"/>
      <c r="N26" s="1368"/>
      <c r="O26" s="1068" t="s">
        <v>750</v>
      </c>
      <c r="Q26" s="1041">
        <v>5475</v>
      </c>
      <c r="R26" s="1042" t="s">
        <v>1400</v>
      </c>
      <c r="S26" s="1043"/>
      <c r="T26" s="1043"/>
      <c r="U26" s="1043"/>
      <c r="V26" s="1044"/>
    </row>
    <row r="27" spans="1:22" ht="12.75" customHeight="1">
      <c r="A27" s="961" t="s">
        <v>1358</v>
      </c>
      <c r="B27" s="959"/>
      <c r="C27" s="965">
        <v>0</v>
      </c>
      <c r="D27" s="975" t="s">
        <v>745</v>
      </c>
      <c r="E27" s="976"/>
      <c r="F27" s="958">
        <v>1</v>
      </c>
      <c r="G27" s="952" t="s">
        <v>1612</v>
      </c>
      <c r="H27" s="963"/>
      <c r="I27" s="974">
        <v>0</v>
      </c>
      <c r="K27" s="1058" t="s">
        <v>1011</v>
      </c>
      <c r="L27" s="1053"/>
      <c r="M27" s="1059"/>
      <c r="N27" s="1060"/>
      <c r="O27" s="1066" t="s">
        <v>1012</v>
      </c>
      <c r="Q27" s="924">
        <v>3800</v>
      </c>
      <c r="R27" s="925" t="s">
        <v>1143</v>
      </c>
      <c r="S27" s="941"/>
      <c r="T27" s="941"/>
      <c r="U27" s="941"/>
      <c r="V27" s="942"/>
    </row>
    <row r="28" spans="1:22" ht="12.75" customHeight="1" thickBot="1">
      <c r="A28" s="966" t="s">
        <v>473</v>
      </c>
      <c r="B28" s="959"/>
      <c r="C28" s="977">
        <v>0</v>
      </c>
      <c r="D28" s="961" t="s">
        <v>418</v>
      </c>
      <c r="E28" s="959"/>
      <c r="F28" s="957">
        <v>5</v>
      </c>
      <c r="G28" s="961" t="s">
        <v>1592</v>
      </c>
      <c r="H28" s="959"/>
      <c r="I28" s="958">
        <v>0</v>
      </c>
      <c r="K28" s="1055" t="s">
        <v>3153</v>
      </c>
      <c r="L28" s="1052"/>
      <c r="M28" s="1052"/>
      <c r="N28" s="1056"/>
      <c r="O28" s="1068" t="s">
        <v>750</v>
      </c>
      <c r="Q28" s="1045">
        <v>0</v>
      </c>
      <c r="R28" s="1046" t="s">
        <v>1401</v>
      </c>
      <c r="S28" s="1047"/>
      <c r="T28" s="1047"/>
      <c r="U28" s="1047"/>
      <c r="V28" s="1048"/>
    </row>
    <row r="29" spans="1:22" ht="12.75" customHeight="1">
      <c r="A29" s="955" t="s">
        <v>744</v>
      </c>
      <c r="B29" s="956"/>
      <c r="C29" s="965">
        <v>0</v>
      </c>
      <c r="D29" s="961" t="s">
        <v>417</v>
      </c>
      <c r="E29" s="959"/>
      <c r="F29" s="957">
        <v>0</v>
      </c>
      <c r="G29" s="955" t="s">
        <v>2152</v>
      </c>
      <c r="H29" s="956"/>
      <c r="I29" s="957">
        <v>0</v>
      </c>
      <c r="K29" s="1303" t="s">
        <v>3154</v>
      </c>
      <c r="L29" s="1042"/>
      <c r="M29" s="1042"/>
      <c r="N29" s="1368"/>
      <c r="O29" s="1068" t="s">
        <v>750</v>
      </c>
    </row>
    <row r="30" spans="1:22" ht="12.75" customHeight="1">
      <c r="A30" s="917" t="s">
        <v>752</v>
      </c>
      <c r="B30" s="918"/>
      <c r="C30" s="933">
        <v>0</v>
      </c>
      <c r="D30" s="911" t="s">
        <v>474</v>
      </c>
      <c r="E30" s="931"/>
      <c r="F30" s="913">
        <v>0</v>
      </c>
      <c r="G30" s="911" t="s">
        <v>475</v>
      </c>
      <c r="H30" s="931"/>
      <c r="I30" s="913">
        <v>0</v>
      </c>
      <c r="K30" s="1058" t="s">
        <v>1013</v>
      </c>
      <c r="L30" s="1053"/>
      <c r="M30" s="1059"/>
      <c r="N30" s="1060"/>
      <c r="O30" s="1068" t="s">
        <v>1012</v>
      </c>
    </row>
    <row r="31" spans="1:22" ht="12.75" customHeight="1">
      <c r="A31" s="914" t="s">
        <v>746</v>
      </c>
      <c r="B31" s="915"/>
      <c r="C31" s="916">
        <v>0</v>
      </c>
      <c r="D31" s="914" t="s">
        <v>747</v>
      </c>
      <c r="E31" s="915"/>
      <c r="F31" s="923">
        <v>2</v>
      </c>
      <c r="G31" s="914" t="s">
        <v>2154</v>
      </c>
      <c r="H31" s="915"/>
      <c r="I31" s="923">
        <v>0</v>
      </c>
      <c r="K31" s="1303" t="s">
        <v>3189</v>
      </c>
      <c r="L31" s="1042"/>
      <c r="M31" s="1042"/>
      <c r="N31" s="1368"/>
      <c r="O31" s="1068" t="s">
        <v>750</v>
      </c>
    </row>
    <row r="32" spans="1:22" ht="12.75" customHeight="1">
      <c r="A32" s="932"/>
      <c r="B32" s="931"/>
      <c r="C32" s="931"/>
      <c r="D32" s="934" t="s">
        <v>2222</v>
      </c>
      <c r="E32" s="935"/>
      <c r="F32" s="923">
        <v>3</v>
      </c>
      <c r="G32" s="932"/>
      <c r="H32" s="931"/>
      <c r="I32" s="936"/>
      <c r="K32" s="1303" t="s">
        <v>3192</v>
      </c>
      <c r="L32" s="1042"/>
      <c r="M32" s="1042"/>
      <c r="N32" s="1375" t="b">
        <v>0</v>
      </c>
      <c r="O32" s="1068">
        <v>10000</v>
      </c>
    </row>
    <row r="33" spans="1:18" ht="12.75" customHeight="1">
      <c r="A33" s="978" t="s">
        <v>476</v>
      </c>
      <c r="B33" s="979"/>
      <c r="C33" s="973">
        <v>0</v>
      </c>
      <c r="D33" s="955" t="s">
        <v>753</v>
      </c>
      <c r="E33" s="956"/>
      <c r="F33" s="957">
        <v>2</v>
      </c>
      <c r="G33" s="980" t="s">
        <v>477</v>
      </c>
      <c r="H33" s="956"/>
      <c r="I33" s="970">
        <v>0</v>
      </c>
      <c r="K33" s="1058" t="s">
        <v>2997</v>
      </c>
      <c r="L33" s="1052"/>
      <c r="M33" s="1052"/>
      <c r="N33" s="1056"/>
      <c r="O33" s="1069">
        <v>1</v>
      </c>
      <c r="R33" s="493"/>
    </row>
    <row r="34" spans="1:18" ht="12.75" customHeight="1">
      <c r="A34" s="952" t="s">
        <v>478</v>
      </c>
      <c r="B34" s="963"/>
      <c r="C34" s="954">
        <v>0</v>
      </c>
      <c r="D34" s="955" t="s">
        <v>751</v>
      </c>
      <c r="E34" s="956"/>
      <c r="F34" s="957">
        <v>1</v>
      </c>
      <c r="G34" s="952" t="s">
        <v>479</v>
      </c>
      <c r="H34" s="963"/>
      <c r="I34" s="974">
        <v>0</v>
      </c>
      <c r="K34" s="1058" t="s">
        <v>3032</v>
      </c>
      <c r="L34" s="1052"/>
      <c r="M34" s="1052"/>
      <c r="N34" s="1056"/>
      <c r="O34" s="1070">
        <v>1</v>
      </c>
    </row>
    <row r="35" spans="1:18" ht="12.75" customHeight="1">
      <c r="A35" s="962"/>
      <c r="B35" s="963"/>
      <c r="C35" s="963"/>
      <c r="D35" s="952" t="s">
        <v>480</v>
      </c>
      <c r="E35" s="963"/>
      <c r="F35" s="974">
        <v>2</v>
      </c>
      <c r="G35" s="952" t="s">
        <v>409</v>
      </c>
      <c r="H35" s="963"/>
      <c r="I35" s="974">
        <v>0</v>
      </c>
      <c r="K35" s="1058" t="s">
        <v>2868</v>
      </c>
      <c r="L35" s="1052"/>
      <c r="M35" s="1052"/>
      <c r="N35" s="1056"/>
      <c r="O35" s="1068">
        <v>300</v>
      </c>
    </row>
    <row r="36" spans="1:18" ht="12.75" customHeight="1" thickBot="1">
      <c r="A36" s="917" t="s">
        <v>755</v>
      </c>
      <c r="B36" s="918"/>
      <c r="C36" s="933">
        <v>0</v>
      </c>
      <c r="D36" s="914" t="s">
        <v>760</v>
      </c>
      <c r="E36" s="915"/>
      <c r="F36" s="919">
        <v>5</v>
      </c>
      <c r="G36" s="914" t="s">
        <v>2156</v>
      </c>
      <c r="H36" s="915"/>
      <c r="I36" s="919">
        <v>0</v>
      </c>
      <c r="K36" s="1061" t="s">
        <v>918</v>
      </c>
      <c r="L36" s="1054"/>
      <c r="M36" s="1054"/>
      <c r="N36" s="1062"/>
      <c r="O36" s="1071" t="s">
        <v>750</v>
      </c>
      <c r="R36" s="64"/>
    </row>
    <row r="37" spans="1:18" ht="12.75" customHeight="1" thickBot="1">
      <c r="A37" s="981" t="s">
        <v>749</v>
      </c>
      <c r="B37" s="982"/>
      <c r="C37" s="983">
        <v>0</v>
      </c>
      <c r="D37" s="981" t="s">
        <v>761</v>
      </c>
      <c r="E37" s="982"/>
      <c r="F37" s="984">
        <v>1</v>
      </c>
      <c r="G37" s="981" t="s">
        <v>1523</v>
      </c>
      <c r="H37" s="982"/>
      <c r="I37" s="985">
        <v>0</v>
      </c>
    </row>
    <row r="38" spans="1:18" ht="12.75" customHeight="1" thickBot="1">
      <c r="A38" s="991"/>
      <c r="B38" s="992"/>
      <c r="C38" s="623">
        <f>SUM(C14:C37)</f>
        <v>19</v>
      </c>
      <c r="D38" s="993"/>
      <c r="E38" s="993"/>
      <c r="F38" s="623">
        <f>SUM(F14:F37)</f>
        <v>42</v>
      </c>
      <c r="G38" s="994"/>
      <c r="H38" s="995"/>
      <c r="I38" s="623">
        <f>SUM(I14:I37)</f>
        <v>0</v>
      </c>
    </row>
    <row r="39" spans="1:18" ht="17.25" customHeight="1" thickBot="1">
      <c r="A39" s="1528" t="s">
        <v>1440</v>
      </c>
      <c r="B39" s="1529"/>
      <c r="C39" s="494">
        <f>CharLevel-9-I39</f>
        <v>0</v>
      </c>
      <c r="D39" s="996"/>
      <c r="E39" s="996"/>
      <c r="F39" s="996"/>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4"/>
      <c r="B43" s="1485"/>
      <c r="C43" s="1485"/>
      <c r="D43" s="498"/>
      <c r="E43" s="498"/>
      <c r="F43" s="498"/>
      <c r="G43" s="499"/>
      <c r="H43" s="64"/>
      <c r="I43" s="64"/>
      <c r="J43" s="64"/>
    </row>
    <row r="44" spans="1:18">
      <c r="A44" s="1035"/>
      <c r="B44" s="1486"/>
      <c r="C44" s="1486"/>
      <c r="D44" s="496"/>
      <c r="E44" s="496"/>
      <c r="F44" s="496"/>
      <c r="G44" s="497"/>
      <c r="H44" s="64"/>
      <c r="I44" s="64"/>
      <c r="J44" s="64"/>
    </row>
    <row r="45" spans="1:18">
      <c r="A45" s="1026"/>
      <c r="B45" s="1523" t="s">
        <v>863</v>
      </c>
      <c r="C45" s="1525"/>
      <c r="D45" s="1523" t="s">
        <v>862</v>
      </c>
      <c r="E45" s="1524"/>
      <c r="F45" s="1523" t="s">
        <v>861</v>
      </c>
      <c r="G45" s="1524"/>
      <c r="H45" s="64"/>
      <c r="I45" s="64"/>
      <c r="J45" s="64"/>
      <c r="K45" s="64"/>
      <c r="L45" s="64"/>
    </row>
    <row r="46" spans="1:18">
      <c r="A46" s="1024" t="s">
        <v>764</v>
      </c>
      <c r="B46" s="1027">
        <f>nextstat2!$H$4</f>
        <v>1</v>
      </c>
      <c r="C46" s="1028" t="s">
        <v>765</v>
      </c>
      <c r="D46" s="1027">
        <f>B46/B$48</f>
        <v>2.3149828155506516</v>
      </c>
      <c r="E46" s="1029" t="s">
        <v>767</v>
      </c>
      <c r="F46" s="1030">
        <f>nextstat2!$E$4</f>
        <v>0.8272128693349714</v>
      </c>
      <c r="G46" s="1029" t="s">
        <v>1537</v>
      </c>
      <c r="H46" s="64"/>
      <c r="I46" s="64"/>
      <c r="J46" s="64"/>
      <c r="K46" s="64"/>
      <c r="L46" s="64"/>
    </row>
    <row r="47" spans="1:18">
      <c r="A47" s="1024" t="s">
        <v>766</v>
      </c>
      <c r="B47" s="1027">
        <f>nextstat2!$H$11</f>
        <v>0.47516551423727965</v>
      </c>
      <c r="C47" s="1028" t="s">
        <v>765</v>
      </c>
      <c r="D47" s="1027">
        <f>B47/B$48</f>
        <v>1.1000000000015908</v>
      </c>
      <c r="E47" s="1028" t="s">
        <v>767</v>
      </c>
      <c r="F47" s="1030">
        <f>nextstat2!$E$11</f>
        <v>0.3930630284412473</v>
      </c>
      <c r="G47" s="1028" t="s">
        <v>1537</v>
      </c>
      <c r="H47" s="64"/>
      <c r="I47" s="64"/>
      <c r="J47" s="64"/>
      <c r="K47" s="64"/>
      <c r="L47" s="64"/>
    </row>
    <row r="48" spans="1:18">
      <c r="A48" s="1024" t="s">
        <v>767</v>
      </c>
      <c r="B48" s="1027">
        <f>nextstat2!$H$3</f>
        <v>0.43196864930599316</v>
      </c>
      <c r="C48" s="1028" t="s">
        <v>765</v>
      </c>
      <c r="D48" s="1027">
        <v>1</v>
      </c>
      <c r="E48" s="1028" t="s">
        <v>767</v>
      </c>
      <c r="F48" s="1030">
        <f>nextstat2!$E$3</f>
        <v>0.3573300258551626</v>
      </c>
      <c r="G48" s="1028" t="s">
        <v>1537</v>
      </c>
      <c r="H48" s="64"/>
      <c r="I48" s="64"/>
      <c r="J48" s="64"/>
      <c r="K48" s="64"/>
      <c r="L48" s="64"/>
      <c r="M48" s="64"/>
    </row>
    <row r="49" spans="1:25">
      <c r="A49" s="1024" t="s">
        <v>2138</v>
      </c>
      <c r="B49" s="1027">
        <f>nextstat2!$H$6</f>
        <v>6.7093147034680944</v>
      </c>
      <c r="C49" s="1028" t="s">
        <v>765</v>
      </c>
      <c r="D49" s="1027">
        <f>B49/B$48</f>
        <v>15.531948242649953</v>
      </c>
      <c r="E49" s="1028" t="s">
        <v>767</v>
      </c>
      <c r="F49" s="1030">
        <f>nextstat2!$E$6</f>
        <v>5.5500314671271553</v>
      </c>
      <c r="G49" s="1028" t="s">
        <v>1537</v>
      </c>
      <c r="H49" s="64"/>
      <c r="I49" s="64"/>
      <c r="J49" s="64"/>
      <c r="K49" s="64"/>
      <c r="L49" s="64"/>
      <c r="M49" s="64"/>
    </row>
    <row r="50" spans="1:25">
      <c r="A50" s="1024" t="s">
        <v>2139</v>
      </c>
      <c r="B50" s="1027">
        <f>nextstat2!$H$5</f>
        <v>0.82904453125931488</v>
      </c>
      <c r="C50" s="1028" t="s">
        <v>765</v>
      </c>
      <c r="D50" s="1027">
        <f>B50/B$48</f>
        <v>1.9192238431915589</v>
      </c>
      <c r="E50" s="1028" t="s">
        <v>767</v>
      </c>
      <c r="F50" s="1030">
        <f>nextstat2!$E$5</f>
        <v>0.68579630550948423</v>
      </c>
      <c r="G50" s="1028" t="s">
        <v>1537</v>
      </c>
      <c r="H50" s="64"/>
      <c r="I50" s="64"/>
      <c r="J50" s="64"/>
      <c r="K50" s="64"/>
      <c r="L50" s="64"/>
      <c r="M50" s="64"/>
    </row>
    <row r="51" spans="1:25">
      <c r="A51" s="1024" t="s">
        <v>1581</v>
      </c>
      <c r="B51" s="1027">
        <f>nextstat2!$H$9</f>
        <v>1.4247966757057076</v>
      </c>
      <c r="C51" s="1028" t="s">
        <v>765</v>
      </c>
      <c r="D51" s="1036">
        <f>B51/B$48</f>
        <v>3.2983798199124075</v>
      </c>
      <c r="E51" s="1028" t="s">
        <v>767</v>
      </c>
      <c r="F51" s="1030">
        <f>nextstat2!$E$9</f>
        <v>1.1786101463294472</v>
      </c>
      <c r="G51" s="1028" t="s">
        <v>1537</v>
      </c>
      <c r="H51" s="64"/>
      <c r="I51" s="64"/>
      <c r="J51" s="64"/>
      <c r="K51" s="64"/>
      <c r="L51" s="64"/>
    </row>
    <row r="52" spans="1:25">
      <c r="A52" s="1024" t="s">
        <v>769</v>
      </c>
      <c r="B52" s="1027">
        <f>nextstat2!$H$8</f>
        <v>0.14858158751251888</v>
      </c>
      <c r="C52" s="1028" t="s">
        <v>765</v>
      </c>
      <c r="D52" s="1027">
        <f>B52/B$48</f>
        <v>0.34396382179871648</v>
      </c>
      <c r="E52" s="1028" t="s">
        <v>767</v>
      </c>
      <c r="F52" s="1030">
        <f>nextstat2!$E$8</f>
        <v>0.12290860133657588</v>
      </c>
      <c r="G52" s="1028" t="s">
        <v>1537</v>
      </c>
      <c r="H52" s="64"/>
      <c r="I52" s="64"/>
      <c r="J52" s="64"/>
      <c r="K52" s="64"/>
      <c r="L52" s="64"/>
      <c r="P52" s="167"/>
    </row>
    <row r="53" spans="1:25" ht="13.5" thickBot="1">
      <c r="A53" s="1025" t="s">
        <v>770</v>
      </c>
      <c r="B53" s="1031">
        <f>nextstat2!$H$7</f>
        <v>4.4382587301521434</v>
      </c>
      <c r="C53" s="1032" t="s">
        <v>765</v>
      </c>
      <c r="D53" s="1031">
        <f>B53/B$48</f>
        <v>10.274492691269868</v>
      </c>
      <c r="E53" s="1032" t="s">
        <v>767</v>
      </c>
      <c r="F53" s="1033">
        <f>nextstat2!$E$7</f>
        <v>3.6713847390201408</v>
      </c>
      <c r="G53" s="1032"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2">
        <v>0</v>
      </c>
      <c r="D55" s="1080" t="s">
        <v>773</v>
      </c>
      <c r="E55" s="1081"/>
      <c r="F55" s="1095">
        <v>13</v>
      </c>
      <c r="H55" s="64"/>
      <c r="I55" s="64"/>
      <c r="J55" s="64"/>
      <c r="K55" s="64"/>
      <c r="L55" s="64"/>
      <c r="P55" s="64"/>
      <c r="Q55" s="64"/>
    </row>
    <row r="56" spans="1:25">
      <c r="A56" s="1521" t="s">
        <v>774</v>
      </c>
      <c r="B56" s="1522"/>
      <c r="C56" s="1093">
        <v>0</v>
      </c>
      <c r="D56" s="1082" t="s">
        <v>775</v>
      </c>
      <c r="E56" s="1083"/>
      <c r="F56" s="1094">
        <v>8</v>
      </c>
      <c r="H56" s="64"/>
      <c r="I56" s="64"/>
      <c r="J56" s="64"/>
      <c r="K56" s="64"/>
      <c r="L56" s="64"/>
      <c r="O56" s="167"/>
      <c r="P56" s="64"/>
      <c r="Q56" s="64"/>
    </row>
    <row r="57" spans="1:25">
      <c r="A57" s="1521" t="s">
        <v>776</v>
      </c>
      <c r="B57" s="1522"/>
      <c r="C57" s="1094">
        <v>0</v>
      </c>
      <c r="D57" s="1082" t="s">
        <v>777</v>
      </c>
      <c r="E57" s="1083"/>
      <c r="F57" s="1094">
        <v>8</v>
      </c>
      <c r="K57" s="64"/>
      <c r="L57" s="64"/>
      <c r="N57" s="167"/>
      <c r="O57" s="167"/>
      <c r="P57" s="64"/>
      <c r="Q57" s="64"/>
    </row>
    <row r="58" spans="1:25">
      <c r="A58" s="1521" t="s">
        <v>778</v>
      </c>
      <c r="B58" s="1522"/>
      <c r="C58" s="1094">
        <v>0</v>
      </c>
      <c r="D58" s="1082" t="s">
        <v>779</v>
      </c>
      <c r="E58" s="1083"/>
      <c r="F58" s="1094">
        <v>8</v>
      </c>
      <c r="M58" s="64"/>
      <c r="N58" s="64"/>
      <c r="O58" s="64"/>
      <c r="P58" s="64"/>
      <c r="Q58" s="64"/>
    </row>
    <row r="59" spans="1:25" ht="13.5" thickBot="1">
      <c r="A59" s="1521" t="s">
        <v>1473</v>
      </c>
      <c r="B59" s="1522"/>
      <c r="C59" s="1094">
        <v>0</v>
      </c>
      <c r="D59" s="1082" t="s">
        <v>1474</v>
      </c>
      <c r="E59" s="1083"/>
      <c r="F59" s="1094">
        <v>0</v>
      </c>
      <c r="P59" s="64"/>
      <c r="Q59" s="64"/>
    </row>
    <row r="60" spans="1:25">
      <c r="A60" s="1084" t="s">
        <v>768</v>
      </c>
      <c r="B60" s="1085"/>
      <c r="C60" s="1085"/>
      <c r="D60" s="1085"/>
      <c r="E60" s="1085"/>
      <c r="F60" s="1085"/>
      <c r="G60" s="1085"/>
      <c r="H60" s="1085"/>
      <c r="I60" s="1085"/>
      <c r="J60" s="1085"/>
      <c r="K60" s="1085"/>
      <c r="L60" s="1085"/>
      <c r="M60" s="1085"/>
      <c r="N60" s="1086"/>
      <c r="O60" s="1085"/>
      <c r="P60" s="1085"/>
      <c r="Q60" s="1085"/>
      <c r="R60" s="1085"/>
      <c r="S60" s="1085"/>
      <c r="T60" s="1085"/>
      <c r="U60" s="1085"/>
      <c r="V60" s="1085"/>
      <c r="W60" s="1085"/>
      <c r="X60" s="1085"/>
      <c r="Y60" s="1087"/>
    </row>
    <row r="61" spans="1:25" ht="13.5" thickBot="1">
      <c r="A61" s="1088"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89"/>
      <c r="C61" s="1089"/>
      <c r="D61" s="1090"/>
      <c r="E61" s="1090"/>
      <c r="F61" s="1090"/>
      <c r="G61" s="1090"/>
      <c r="H61" s="1090"/>
      <c r="I61" s="1090"/>
      <c r="J61" s="1090"/>
      <c r="K61" s="1090"/>
      <c r="L61" s="1090"/>
      <c r="M61" s="1090"/>
      <c r="N61" s="1090"/>
      <c r="O61" s="1090"/>
      <c r="P61" s="1090"/>
      <c r="Q61" s="1090"/>
      <c r="R61" s="1090"/>
      <c r="S61" s="1090"/>
      <c r="T61" s="1090"/>
      <c r="U61" s="1090"/>
      <c r="V61" s="1090"/>
      <c r="W61" s="1090"/>
      <c r="X61" s="1090"/>
      <c r="Y61" s="1091"/>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pane ySplit="4" topLeftCell="A5" activePane="bottomLeft" state="frozen"/>
      <selection pane="bottomLeft" activeCell="O15" sqref="O15"/>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5">
        <v>1</v>
      </c>
      <c r="F3" s="1005" t="s">
        <v>1136</v>
      </c>
      <c r="G3" s="1460">
        <f>'Gear &amp; Buffs'!$C$7</f>
        <v>1555.182530256119</v>
      </c>
      <c r="H3" s="1460"/>
      <c r="I3" s="1461"/>
    </row>
    <row r="4" spans="2:10" ht="13.5" thickBot="1">
      <c r="B4" s="885"/>
      <c r="F4" s="1156" t="s">
        <v>589</v>
      </c>
      <c r="G4" s="1153" t="str">
        <f>IF(($G$1-$G$3)&lt;0,ROUND($G$1-$G$3,2),"+"&amp;ROUND($G$1-$G$3,2))</f>
        <v>+0</v>
      </c>
      <c r="H4" s="1154"/>
      <c r="I4" s="1155" t="str">
        <f>IF(($G$4/$G$1)&lt;0,ROUND($G$4/$G$1*100,2)&amp;"%","+"&amp;ROUND($G$4/$G$1*100,2)&amp;"%")</f>
        <v>+0%</v>
      </c>
    </row>
    <row r="5" spans="2:10">
      <c r="D5" s="885"/>
      <c r="G5" s="885"/>
    </row>
    <row r="6" spans="2:10" ht="13.5" thickBot="1">
      <c r="D6" s="885"/>
      <c r="G6" s="885"/>
    </row>
    <row r="7" spans="2:10" ht="13.5" thickBot="1">
      <c r="B7" s="615" t="s">
        <v>2914</v>
      </c>
      <c r="C7" s="1159"/>
      <c r="D7" s="885"/>
      <c r="E7" s="615" t="s">
        <v>2916</v>
      </c>
      <c r="F7" s="1159"/>
      <c r="G7" s="885"/>
      <c r="H7" s="615" t="str">
        <f>IF(arush&gt;0,"", "No ")&amp;"Adrenaline Rush"</f>
        <v>Adrenaline Rush</v>
      </c>
      <c r="I7" s="1159"/>
      <c r="J7" s="885"/>
    </row>
    <row r="8" spans="2:10">
      <c r="B8" s="1165"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0"/>
      <c r="D8" s="885"/>
      <c r="E8" s="1167"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68"/>
      <c r="G8" s="885"/>
      <c r="H8" s="1158" t="s">
        <v>3047</v>
      </c>
      <c r="I8" s="1157" t="s">
        <v>750</v>
      </c>
      <c r="J8" s="885" t="b">
        <f>I8="Yes"</f>
        <v>0</v>
      </c>
    </row>
    <row r="9" spans="2:10">
      <c r="B9" s="1158" t="s">
        <v>3048</v>
      </c>
      <c r="C9" s="1157" t="s">
        <v>750</v>
      </c>
      <c r="D9" s="885" t="b">
        <f>C9="Yes"</f>
        <v>0</v>
      </c>
      <c r="E9" s="1166"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69"/>
      <c r="G9" s="885"/>
      <c r="H9" s="1162" t="s">
        <v>2968</v>
      </c>
      <c r="I9" s="1017">
        <v>0</v>
      </c>
      <c r="J9" s="885"/>
    </row>
    <row r="10" spans="2:10" ht="13.5" thickBot="1">
      <c r="B10" s="1162" t="s">
        <v>2926</v>
      </c>
      <c r="C10" s="1017">
        <v>0</v>
      </c>
      <c r="D10" s="885"/>
      <c r="E10" s="1158" t="s">
        <v>3048</v>
      </c>
      <c r="F10" s="1157" t="s">
        <v>750</v>
      </c>
      <c r="G10" s="885" t="b">
        <f>F10="Yes"</f>
        <v>0</v>
      </c>
      <c r="H10" s="1163" t="s">
        <v>2969</v>
      </c>
      <c r="I10" s="1164">
        <v>300</v>
      </c>
      <c r="J10" s="885"/>
    </row>
    <row r="11" spans="2:10" ht="13.5" thickBot="1">
      <c r="B11" s="1158" t="s">
        <v>3049</v>
      </c>
      <c r="C11" s="1157" t="s">
        <v>750</v>
      </c>
      <c r="D11" s="885" t="b">
        <f>C11="Yes"</f>
        <v>0</v>
      </c>
      <c r="E11" s="1162" t="s">
        <v>2942</v>
      </c>
      <c r="F11" s="1017">
        <v>0</v>
      </c>
      <c r="G11" s="885"/>
      <c r="J11" s="885"/>
    </row>
    <row r="12" spans="2:10" ht="13.5" thickBot="1">
      <c r="B12" s="1162" t="s">
        <v>2927</v>
      </c>
      <c r="C12" s="1017">
        <v>60</v>
      </c>
      <c r="D12" s="885"/>
      <c r="E12" s="1158" t="s">
        <v>3049</v>
      </c>
      <c r="F12" s="1157" t="s">
        <v>750</v>
      </c>
      <c r="G12" s="885" t="b">
        <f>F12="Yes"</f>
        <v>0</v>
      </c>
      <c r="H12" s="615" t="str">
        <f>IF('Cooldowns Calc'!AL38,"","No ")&amp;"Thistle Tea"</f>
        <v>Thistle Tea</v>
      </c>
      <c r="I12" s="1159"/>
      <c r="J12" s="885"/>
    </row>
    <row r="13" spans="2:10">
      <c r="B13" s="1162" t="s">
        <v>2928</v>
      </c>
      <c r="C13" s="1017">
        <v>120</v>
      </c>
      <c r="D13" s="885"/>
      <c r="E13" s="1162" t="s">
        <v>2943</v>
      </c>
      <c r="F13" s="1017">
        <v>120</v>
      </c>
      <c r="G13" s="885"/>
      <c r="H13" s="1158" t="s">
        <v>3052</v>
      </c>
      <c r="I13" s="1157" t="s">
        <v>750</v>
      </c>
      <c r="J13" s="885" t="b">
        <f>I13="Yes"</f>
        <v>0</v>
      </c>
    </row>
    <row r="14" spans="2:10">
      <c r="B14" s="1162" t="s">
        <v>2929</v>
      </c>
      <c r="C14" s="1017">
        <v>180</v>
      </c>
      <c r="D14" s="885"/>
      <c r="E14" s="1162" t="s">
        <v>2944</v>
      </c>
      <c r="F14" s="1017">
        <v>240</v>
      </c>
      <c r="G14" s="885"/>
      <c r="H14" s="1162" t="s">
        <v>2970</v>
      </c>
      <c r="I14" s="1017">
        <v>0</v>
      </c>
      <c r="J14" s="885"/>
    </row>
    <row r="15" spans="2:10" ht="13.5" thickBot="1">
      <c r="B15" s="1162" t="s">
        <v>2930</v>
      </c>
      <c r="C15" s="1017">
        <v>240</v>
      </c>
      <c r="D15" s="885"/>
      <c r="E15" s="1162" t="s">
        <v>2945</v>
      </c>
      <c r="F15" s="1017">
        <v>360</v>
      </c>
      <c r="G15" s="885"/>
      <c r="H15" s="1163" t="s">
        <v>2971</v>
      </c>
      <c r="I15" s="1164">
        <v>300</v>
      </c>
      <c r="J15" s="885"/>
    </row>
    <row r="16" spans="2:10" ht="13.5" thickBot="1">
      <c r="B16" s="1162" t="s">
        <v>2931</v>
      </c>
      <c r="C16" s="1017">
        <v>300</v>
      </c>
      <c r="D16" s="885"/>
      <c r="E16" s="1163" t="s">
        <v>2946</v>
      </c>
      <c r="F16" s="1164">
        <v>480</v>
      </c>
      <c r="G16" s="885"/>
      <c r="J16" s="885"/>
    </row>
    <row r="17" spans="2:10" ht="13.5" thickBot="1">
      <c r="B17" s="1162" t="s">
        <v>2932</v>
      </c>
      <c r="C17" s="1017">
        <v>360</v>
      </c>
      <c r="D17" s="885"/>
      <c r="G17" s="885"/>
      <c r="H17" s="615" t="str">
        <f>IF(blust,"","No ")&amp;"Bloodlust / Heroism"</f>
        <v>Bloodlust / Heroism</v>
      </c>
      <c r="I17" s="1159"/>
      <c r="J17" s="885"/>
    </row>
    <row r="18" spans="2:10">
      <c r="B18" s="1162" t="s">
        <v>2933</v>
      </c>
      <c r="C18" s="1017">
        <v>420</v>
      </c>
      <c r="D18" s="885"/>
      <c r="H18" s="1158" t="s">
        <v>3053</v>
      </c>
      <c r="I18" s="1157" t="s">
        <v>750</v>
      </c>
      <c r="J18" s="885" t="b">
        <f>I18="Yes"</f>
        <v>0</v>
      </c>
    </row>
    <row r="19" spans="2:10">
      <c r="B19" s="1162" t="s">
        <v>2934</v>
      </c>
      <c r="C19" s="1017">
        <v>480</v>
      </c>
      <c r="D19" s="885"/>
      <c r="H19" s="1162" t="s">
        <v>2921</v>
      </c>
      <c r="I19" s="1017">
        <v>0</v>
      </c>
      <c r="J19" s="885"/>
    </row>
    <row r="20" spans="2:10" ht="13.5" thickBot="1">
      <c r="B20" s="1163" t="s">
        <v>2935</v>
      </c>
      <c r="C20" s="1164">
        <v>540</v>
      </c>
      <c r="D20" s="885"/>
      <c r="H20" s="1162" t="s">
        <v>2922</v>
      </c>
      <c r="I20" s="1017">
        <v>40</v>
      </c>
      <c r="J20" s="885"/>
    </row>
    <row r="21" spans="2:10" ht="13.5" thickBot="1">
      <c r="D21" s="885"/>
      <c r="H21" s="1162" t="s">
        <v>2923</v>
      </c>
      <c r="I21" s="1017">
        <v>80</v>
      </c>
      <c r="J21" s="885"/>
    </row>
    <row r="22" spans="2:10" ht="13.5" thickBot="1">
      <c r="B22" s="615" t="s">
        <v>2915</v>
      </c>
      <c r="C22" s="1159"/>
      <c r="D22" s="885"/>
      <c r="E22" s="615" t="s">
        <v>2918</v>
      </c>
      <c r="F22" s="1159"/>
      <c r="G22" s="885"/>
      <c r="H22" s="1162" t="s">
        <v>2924</v>
      </c>
      <c r="I22" s="1017">
        <v>120</v>
      </c>
      <c r="J22" s="885"/>
    </row>
    <row r="23" spans="2:10">
      <c r="B23" s="1166"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1"/>
      <c r="D23" s="885"/>
      <c r="E23" s="1167"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68"/>
      <c r="G23" s="885"/>
      <c r="H23" s="1162" t="s">
        <v>2925</v>
      </c>
      <c r="I23" s="1017">
        <v>160</v>
      </c>
      <c r="J23" s="885"/>
    </row>
    <row r="24" spans="2:10">
      <c r="B24" s="1158" t="s">
        <v>3048</v>
      </c>
      <c r="C24" s="1157" t="s">
        <v>750</v>
      </c>
      <c r="D24" s="885" t="b">
        <f>C24="Yes"</f>
        <v>0</v>
      </c>
      <c r="E24" s="1166" t="str">
        <f>"| "&amp;IF(CharRace="Troll","Berserking | ","")</f>
        <v xml:space="preserve">| </v>
      </c>
      <c r="F24" s="1169"/>
      <c r="G24" s="885"/>
      <c r="H24" s="1162" t="s">
        <v>2954</v>
      </c>
      <c r="I24" s="1017">
        <v>200</v>
      </c>
      <c r="J24" s="885"/>
    </row>
    <row r="25" spans="2:10">
      <c r="B25" s="1162" t="s">
        <v>2936</v>
      </c>
      <c r="C25" s="1017">
        <v>0</v>
      </c>
      <c r="D25" s="885"/>
      <c r="E25" s="1158" t="s">
        <v>3048</v>
      </c>
      <c r="F25" s="1157" t="s">
        <v>750</v>
      </c>
      <c r="G25" s="885" t="b">
        <f>F25="Yes"</f>
        <v>0</v>
      </c>
      <c r="H25" s="1162" t="s">
        <v>2955</v>
      </c>
      <c r="I25" s="1017">
        <v>240</v>
      </c>
      <c r="J25" s="885"/>
    </row>
    <row r="26" spans="2:10">
      <c r="B26" s="1158" t="s">
        <v>3049</v>
      </c>
      <c r="C26" s="1157" t="s">
        <v>750</v>
      </c>
      <c r="D26" s="885" t="b">
        <f>C26="Yes"</f>
        <v>0</v>
      </c>
      <c r="E26" s="1162" t="s">
        <v>2947</v>
      </c>
      <c r="F26" s="1017">
        <v>0</v>
      </c>
      <c r="G26" s="885"/>
      <c r="H26" s="1162" t="s">
        <v>2956</v>
      </c>
      <c r="I26" s="1017">
        <v>280</v>
      </c>
      <c r="J26" s="885"/>
    </row>
    <row r="27" spans="2:10">
      <c r="B27" s="1158" t="s">
        <v>3050</v>
      </c>
      <c r="C27" s="1157" t="s">
        <v>750</v>
      </c>
      <c r="D27" s="885" t="b">
        <f>C27="Yes"</f>
        <v>0</v>
      </c>
      <c r="E27" s="1158" t="s">
        <v>3049</v>
      </c>
      <c r="F27" s="1157" t="s">
        <v>750</v>
      </c>
      <c r="G27" s="885" t="b">
        <f>F27="Yes"</f>
        <v>0</v>
      </c>
      <c r="H27" s="1162" t="s">
        <v>2957</v>
      </c>
      <c r="I27" s="1017">
        <v>320</v>
      </c>
      <c r="J27" s="885"/>
    </row>
    <row r="28" spans="2:10">
      <c r="B28" s="1162" t="s">
        <v>2937</v>
      </c>
      <c r="C28" s="1017">
        <v>90</v>
      </c>
      <c r="D28" s="885"/>
      <c r="E28" s="1158" t="s">
        <v>3051</v>
      </c>
      <c r="F28" s="1157" t="s">
        <v>750</v>
      </c>
      <c r="G28" s="885" t="b">
        <f>F28="Yes"</f>
        <v>0</v>
      </c>
      <c r="H28" s="1162" t="s">
        <v>2958</v>
      </c>
      <c r="I28" s="1017">
        <v>360</v>
      </c>
      <c r="J28" s="885"/>
    </row>
    <row r="29" spans="2:10">
      <c r="B29" s="1162" t="s">
        <v>2938</v>
      </c>
      <c r="C29" s="1017">
        <v>180</v>
      </c>
      <c r="D29" s="885"/>
      <c r="E29" s="1162" t="s">
        <v>2948</v>
      </c>
      <c r="F29" s="1017">
        <v>180</v>
      </c>
      <c r="G29" s="885"/>
      <c r="H29" s="1162" t="s">
        <v>2959</v>
      </c>
      <c r="I29" s="1017">
        <v>400</v>
      </c>
      <c r="J29" s="885"/>
    </row>
    <row r="30" spans="2:10">
      <c r="B30" s="1162" t="s">
        <v>2939</v>
      </c>
      <c r="C30" s="1017">
        <v>270</v>
      </c>
      <c r="D30" s="885"/>
      <c r="E30" s="1162" t="s">
        <v>2949</v>
      </c>
      <c r="F30" s="1017">
        <v>360</v>
      </c>
      <c r="G30" s="885"/>
      <c r="H30" s="1162" t="s">
        <v>2960</v>
      </c>
      <c r="I30" s="1017">
        <v>440</v>
      </c>
      <c r="J30" s="885"/>
    </row>
    <row r="31" spans="2:10" ht="13.5" thickBot="1">
      <c r="B31" s="1162" t="s">
        <v>2940</v>
      </c>
      <c r="C31" s="1017">
        <v>360</v>
      </c>
      <c r="D31" s="885"/>
      <c r="E31" s="1163" t="s">
        <v>2950</v>
      </c>
      <c r="F31" s="1164">
        <v>540</v>
      </c>
      <c r="G31" s="885"/>
      <c r="H31" s="1162" t="s">
        <v>2961</v>
      </c>
      <c r="I31" s="1017">
        <v>480</v>
      </c>
      <c r="J31" s="885"/>
    </row>
    <row r="32" spans="2:10">
      <c r="B32" s="1162" t="s">
        <v>2941</v>
      </c>
      <c r="C32" s="1017">
        <v>450</v>
      </c>
      <c r="D32" s="885"/>
      <c r="H32" s="1162" t="s">
        <v>2962</v>
      </c>
      <c r="I32" s="1017">
        <v>520</v>
      </c>
      <c r="J32" s="885"/>
    </row>
    <row r="33" spans="2:10" ht="13.5" thickBot="1">
      <c r="B33" s="1163" t="s">
        <v>2951</v>
      </c>
      <c r="C33" s="1164">
        <v>540</v>
      </c>
      <c r="D33" s="885"/>
      <c r="H33" s="1163" t="s">
        <v>2963</v>
      </c>
      <c r="I33" s="1164">
        <v>560</v>
      </c>
      <c r="J33" s="885"/>
    </row>
    <row r="34" spans="2:10">
      <c r="J34" s="885"/>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0" t="s">
        <v>126</v>
      </c>
      <c r="D1" s="1300" t="s">
        <v>1094</v>
      </c>
      <c r="E1" s="15" t="s">
        <v>1095</v>
      </c>
      <c r="F1" s="389"/>
      <c r="G1" s="1294" t="s">
        <v>3054</v>
      </c>
      <c r="H1" s="1295">
        <f>ohhit</f>
        <v>0.97956097560975608</v>
      </c>
      <c r="I1" s="1296">
        <f>H1/H2*3*0.2*cpot*'Damage Calc'!$Q$39</f>
        <v>2.5784731215973284</v>
      </c>
      <c r="N1" s="87" t="s">
        <v>785</v>
      </c>
      <c r="O1" s="88">
        <f>bcpdodge+bcpmiss</f>
        <v>2.0000000000000004E-2</v>
      </c>
      <c r="P1" s="88">
        <f>bfindodge+bfinmiss</f>
        <v>0</v>
      </c>
      <c r="Q1" s="88"/>
      <c r="R1" s="88"/>
      <c r="S1" s="88"/>
      <c r="T1" s="88"/>
      <c r="U1" s="89"/>
      <c r="V1" s="1170"/>
      <c r="W1" s="1171"/>
      <c r="X1" s="1172" t="s">
        <v>1536</v>
      </c>
      <c r="Y1" s="1172" t="s">
        <v>1752</v>
      </c>
      <c r="Z1" s="1171"/>
      <c r="AA1" s="1171"/>
      <c r="AB1" s="1173"/>
    </row>
    <row r="2" spans="2:31">
      <c r="B2" s="15" t="s">
        <v>2007</v>
      </c>
      <c r="C2" s="1300">
        <f>IF(dm4p,Optimize!C30,0)</f>
        <v>0</v>
      </c>
      <c r="D2" s="1300">
        <f>IF(dm4p,Optimize!C35,0)</f>
        <v>0</v>
      </c>
      <c r="E2" s="1300">
        <f>IF(dm4p,Optimize!C40,0)</f>
        <v>0</v>
      </c>
      <c r="F2" s="389"/>
      <c r="G2" s="1297" t="s">
        <v>3055</v>
      </c>
      <c r="H2" s="1298">
        <f>ohspd</f>
        <v>1.4</v>
      </c>
      <c r="I2" s="1299"/>
      <c r="N2" s="32" t="s">
        <v>786</v>
      </c>
      <c r="O2" s="90">
        <f>Q2*(O1/(1-O1))+P2</f>
        <v>40.163265306122447</v>
      </c>
      <c r="P2" s="33">
        <f>IF(Talents!O28="Yes", 45-impSS, IF(instatk="V",20+ohspd*10-cpot*3*0.2,IF(mhtype="dagger",60,IF(hemo,35,45-impSS))))</f>
        <v>40</v>
      </c>
      <c r="Q2" s="33">
        <f>ROUNDUP(P2*0.2, 0)</f>
        <v>8</v>
      </c>
      <c r="R2" s="33" t="s">
        <v>569</v>
      </c>
      <c r="S2" s="33">
        <v>180</v>
      </c>
      <c r="T2" s="33"/>
      <c r="U2" s="91"/>
      <c r="V2" s="1174" t="s">
        <v>1537</v>
      </c>
      <c r="W2" s="1175"/>
      <c r="X2" s="1176">
        <f>IF(allowrupt,IF(AND(poison,allowenv),MAX(AG56:AG284),MAX(AG56:AG150,AG234:AG284)),IF(AND(poison,allowenv),MAX(AG198:AG284),MAX(AG234:AG284)))</f>
        <v>570.51064106310048</v>
      </c>
      <c r="Y2" s="1176"/>
      <c r="Z2" s="1177">
        <f>MATCH(X2,AG55:AG284,0)+60</f>
        <v>77</v>
      </c>
      <c r="AA2" s="1175" t="s">
        <v>1538</v>
      </c>
      <c r="AB2" s="1178"/>
      <c r="AC2" s="108"/>
      <c r="AD2" s="27"/>
      <c r="AE2" s="390"/>
    </row>
    <row r="3" spans="2:31">
      <c r="B3" s="15" t="s">
        <v>2008</v>
      </c>
      <c r="C3" s="1300">
        <f>IF(dm4p,Optimize!C31,0)</f>
        <v>0</v>
      </c>
      <c r="D3" s="1300">
        <f>IF(dm4p,Optimize!C36,0)</f>
        <v>0</v>
      </c>
      <c r="E3" s="1300">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4" t="s">
        <v>1540</v>
      </c>
      <c r="W3" s="1175"/>
      <c r="X3" s="1179">
        <f>VLOOKUP($X$2,CHOOSE({1,2},AG56:AG284,E56:E284),2,FALSE)/VLOOKUP($X$2,CHOOSE({1,2},AG56:AG284,Q56:Q284),2,FALSE)+IF(arush,IF(time=0,MIN(1,150/(instcost*N43+evicost))/300,MIN(1,totalARTicks*10/(instcost*N43+evicost))/time)*$F$24/IF(evidmg&gt;0,evidmg,$F$24),0)</f>
        <v>2.3616278845597733E-3</v>
      </c>
      <c r="Y3" s="1179">
        <f>IF($W$15&gt;1, X3/$W$15, X3)</f>
        <v>2.3616278845597733E-3</v>
      </c>
      <c r="Z3" s="1176">
        <f>VLOOKUP($X$2,CHOOSE({1,2},AG56:AG284,Q56:Q284),2,FALSE)</f>
        <v>16.158312420109564</v>
      </c>
      <c r="AA3" s="1175" t="s">
        <v>1541</v>
      </c>
      <c r="AB3" s="1178"/>
      <c r="AC3" s="110"/>
      <c r="AD3" s="96"/>
      <c r="AE3" s="391"/>
    </row>
    <row r="4" spans="2:31">
      <c r="B4" s="15" t="s">
        <v>2009</v>
      </c>
      <c r="C4" s="1300">
        <f>IF(dm4p,Optimize!C32,0)</f>
        <v>0</v>
      </c>
      <c r="D4" s="1300">
        <f>IF(dm4p,Optimize!C37,0)</f>
        <v>0</v>
      </c>
      <c r="E4" s="1300">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4" t="s">
        <v>1543</v>
      </c>
      <c r="W4" s="1175"/>
      <c r="X4" s="1179">
        <f>VLOOKUP($X$2,CHOOSE({1,2},AG56:AG284,D56:D284),2,FALSE)/VLOOKUP($X$2,CHOOSE({1,2},AG56:AG284,Q56:Q284),2,FALSE)</f>
        <v>6.1887651012086285E-2</v>
      </c>
      <c r="Y4" s="1179">
        <f>IF($W$15&gt;1, X4/$W$15, X4)</f>
        <v>6.1887651012086285E-2</v>
      </c>
      <c r="Z4" s="1176"/>
      <c r="AA4" s="1175" t="s">
        <v>1544</v>
      </c>
      <c r="AB4" s="1178"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0">
        <f>IF(dm4p,Optimize!C33,0)</f>
        <v>0</v>
      </c>
      <c r="D5" s="1300">
        <f>IF(dm4p,Optimize!C38,0)</f>
        <v>0</v>
      </c>
      <c r="E5" s="1300">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4" t="s">
        <v>1545</v>
      </c>
      <c r="W5" s="1175"/>
      <c r="X5" s="1179">
        <f>VLOOKUP($X$2,CHOOSE({1,2},AG56:AG284,I56:I284),2,FALSE)/VLOOKUP($X$2,CHOOSE({1,2},AG56:AG284,Q56:Q284),2,FALSE)+IF(arush,IF(time=0,MIN(1,150/(instcost*N43+evicost))*5/300,MIN(1,totalARTicks*10/(instcost*N43+evicost))*5/time),0)</f>
        <v>0.30886886428081306</v>
      </c>
      <c r="Y5" s="1179">
        <f>IF($W$15&gt;1, X5/$W$15, X5)</f>
        <v>0.30886886428081306</v>
      </c>
      <c r="Z5" s="1180">
        <f>IF(time=0, VLOOKUP($X$2,CHOOSE({1,2},AG56:AG284,V56:V284),2,FALSE), MIN(VLOOKUP($X$2,CHOOSE({1,2},AG56:AG284,V56:V284),2,FALSE),MIN(1,1-$S$49/time)))</f>
        <v>0.98</v>
      </c>
      <c r="AA5" s="1175" t="s">
        <v>407</v>
      </c>
      <c r="AB5" s="1178"/>
      <c r="AC5" s="108"/>
      <c r="AD5" s="27"/>
    </row>
    <row r="6" spans="2:31">
      <c r="B6" s="15" t="s">
        <v>2011</v>
      </c>
      <c r="C6" s="1300">
        <f>IF(dm4p,Optimize!C34,0)</f>
        <v>0</v>
      </c>
      <c r="D6" s="1300">
        <f>IF(dm4p,Optimize!C39,0)</f>
        <v>0</v>
      </c>
      <c r="E6" s="1300">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4" t="s">
        <v>1546</v>
      </c>
      <c r="W6" s="1175"/>
      <c r="X6" s="1176">
        <f>IF(VLOOKUP($X$2,CHOOSE({1,2},AG56:AG284,AB56:AB284),2,FALSE)&gt;0,VLOOKUP($X$2,CHOOSE({1,2},AG56:AG284,AB56:AB284),2,FALSE)/VLOOKUP($X$2,CHOOSE({1,2},AG56:AG284,E56:E284),2,FALSE),F24)</f>
        <v>1459.2710844590233</v>
      </c>
      <c r="Y6" s="1176"/>
      <c r="Z6" s="1180">
        <f>IF(time=0, VLOOKUP($X$2,CHOOSE({1,2},AG56:AG284,U56:U284),2,FALSE), MIN(VLOOKUP($X$2,CHOOSE({1,2},AG56:AG284,U56:U284),2,FALSE), MIN(1,1-$R$49/time)))</f>
        <v>0.9966666666666667</v>
      </c>
      <c r="AA6" s="1175" t="s">
        <v>1547</v>
      </c>
      <c r="AB6" s="1178"/>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4" t="s">
        <v>1548</v>
      </c>
      <c r="W7" s="1175"/>
      <c r="X7" s="1176">
        <f>VLOOKUP($X$2,CHOOSE({1,2},AG56:AG284,AA56:AA284),2,FALSE)</f>
        <v>1759.7269451999114</v>
      </c>
      <c r="Y7" s="1176"/>
      <c r="Z7" s="1180">
        <f>IF(time=0, VLOOKUP($X$2,CHOOSE({1,2},AG56:AG284,W56:W284),2,FALSE), MIN(VLOOKUP($X$2,CHOOSE({1,2},AG56:AG284,W56:W284),2,FALSE),MIN(1,1-$T$49/time)))</f>
        <v>0</v>
      </c>
      <c r="AA7" s="1175" t="s">
        <v>3026</v>
      </c>
      <c r="AB7" s="1178"/>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1" t="s">
        <v>1549</v>
      </c>
      <c r="W8" s="1175"/>
      <c r="X8" s="1176">
        <f>VLOOKUP($X$2,CHOOSE({1,2},AG56:AG284,Z56:Z284),2,FALSE)</f>
        <v>2869.3780204034333</v>
      </c>
      <c r="Y8" s="1176">
        <f>X8/$Z$3</f>
        <v>177.57906554847867</v>
      </c>
      <c r="Z8" s="1176"/>
      <c r="AA8" s="1175"/>
      <c r="AB8" s="1178"/>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4" t="s">
        <v>1550</v>
      </c>
      <c r="W9" s="1175"/>
      <c r="X9" s="1176">
        <v>0</v>
      </c>
      <c r="Y9" s="1176">
        <f>X9/$Z$3</f>
        <v>0</v>
      </c>
      <c r="Z9" s="1175">
        <f>VLOOKUP($X$2,CHOOSE({1,2},AG56:AG284,X56:X284),2,FALSE)</f>
        <v>1</v>
      </c>
      <c r="AA9" s="1175" t="s">
        <v>321</v>
      </c>
      <c r="AB9" s="1178"/>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2" t="s">
        <v>115</v>
      </c>
      <c r="W10" s="1183"/>
      <c r="X10" s="1184">
        <f>IF(gs=0,0,S9*(1-O1)*gs)</f>
        <v>0</v>
      </c>
      <c r="Y10" s="1184">
        <f>X10/20*gs</f>
        <v>0</v>
      </c>
      <c r="Z10" s="1185"/>
      <c r="AA10" s="1185"/>
      <c r="AB10" s="1186" t="s">
        <v>116</v>
      </c>
      <c r="AC10" s="108"/>
      <c r="AD10" s="27"/>
      <c r="AE10" s="197"/>
    </row>
    <row r="11" spans="2:31">
      <c r="G11" s="389"/>
      <c r="H11" s="389"/>
      <c r="I11" s="389"/>
      <c r="K11" s="86"/>
      <c r="M11" s="97"/>
      <c r="N11" s="100" t="s">
        <v>839</v>
      </c>
      <c r="O11" s="33"/>
      <c r="P11" s="33"/>
      <c r="Q11" s="33"/>
      <c r="R11" s="33"/>
      <c r="S11" s="33"/>
      <c r="T11" s="33"/>
      <c r="U11" s="91"/>
      <c r="V11" s="1187" t="s">
        <v>316</v>
      </c>
      <c r="W11" s="1179">
        <f>VLOOKUP($X$2,CHOOSE({1,2},AG56:AG284,F56:F284),2,FALSE)/VLOOKUP($X$2,CHOOSE({1,2},AG56:AG284,Q56:Q284),2,FALSE)</f>
        <v>0</v>
      </c>
      <c r="X11" s="1179">
        <f>IF($W$15&gt;1, W11/$W$15, W11)</f>
        <v>0</v>
      </c>
      <c r="Y11" s="1188"/>
      <c r="Z11" s="1188" t="s">
        <v>1539</v>
      </c>
      <c r="AA11" s="1188">
        <f>VLOOKUP($X$2,CHOOSE({1,2},AG56:AG284,H56:H284),2,FALSE)</f>
        <v>2</v>
      </c>
      <c r="AB11" s="1188"/>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87" t="s">
        <v>317</v>
      </c>
      <c r="W12" s="1189">
        <f>VLOOKUP($X$2,CHOOSE({1,2},AG56:AG284,AC56:AC284),2,FALSE)</f>
        <v>0</v>
      </c>
      <c r="X12" s="1189"/>
      <c r="Y12" s="1188"/>
      <c r="Z12" s="1188" t="s">
        <v>1542</v>
      </c>
      <c r="AA12" s="1188">
        <f>VLOOKUP($X$2,CHOOSE({1,2},AG56:AG284,M56:M284),2,FALSE)/VLOOKUP($X$2,CHOOSE({1,2},AG56:AG284,H56:H284),2,FALSE)</f>
        <v>3</v>
      </c>
      <c r="AB12" s="1188"/>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87" t="s">
        <v>1026</v>
      </c>
      <c r="W13" s="1189"/>
      <c r="X13" s="1189"/>
      <c r="Y13" s="1188"/>
      <c r="Z13" s="1188" t="s">
        <v>270</v>
      </c>
      <c r="AA13" s="1179">
        <f>VLOOKUP($X$2,CHOOSE({1,2},AG56:AG284,C56:C284),2,FALSE)/VLOOKUP($X$2,CHOOSE({1,2},AG56:AG284,Q56:Q284),2,FALSE)</f>
        <v>6.1887651012086285E-2</v>
      </c>
      <c r="AB13" s="1179">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2">
        <v>1</v>
      </c>
      <c r="K14" s="1283">
        <v>2</v>
      </c>
      <c r="L14" s="1283">
        <v>3</v>
      </c>
      <c r="M14" s="1283">
        <v>4</v>
      </c>
      <c r="N14" s="1284">
        <v>5</v>
      </c>
      <c r="O14" s="394"/>
      <c r="P14" s="394"/>
      <c r="Q14" s="394"/>
      <c r="R14" s="97"/>
      <c r="V14" s="1187" t="s">
        <v>3019</v>
      </c>
      <c r="W14" s="1179">
        <f>VLOOKUP($X$2,CHOOSE({1,2},AG56:AG284,G56:G284),2,FALSE)/VLOOKUP($X$2,CHOOSE({1,2},AG56:AG284,Q56:Q284),2,FALSE)</f>
        <v>0</v>
      </c>
      <c r="X14" s="1179">
        <f>IF($W$15&gt;1, W14/$W$15, W14)</f>
        <v>0</v>
      </c>
      <c r="Y14" s="1188"/>
      <c r="Z14" s="1188" t="s">
        <v>3196</v>
      </c>
      <c r="AA14" s="1188">
        <f>IF(Talents!N32,(physicaldps*armorpostEA-physicaldps*armorpreEA)*Z7,0)</f>
        <v>0</v>
      </c>
      <c r="AB14" s="1188"/>
      <c r="AE14" s="396"/>
    </row>
    <row r="15" spans="2:31">
      <c r="B15" s="207" t="s">
        <v>126</v>
      </c>
      <c r="C15">
        <v>3</v>
      </c>
      <c r="D15" s="25">
        <f>(6+3*C15+3*nb2p)*(1+0.15*isnd)</f>
        <v>26.099999999999998</v>
      </c>
      <c r="E15" s="397">
        <f>25-(5*relent*C15)-(25*C4)</f>
        <v>10</v>
      </c>
      <c r="F15" s="374" t="s">
        <v>322</v>
      </c>
      <c r="G15" s="389"/>
      <c r="H15" s="1577" t="s">
        <v>323</v>
      </c>
      <c r="I15" s="1578"/>
      <c r="J15" s="1291">
        <f t="shared" ref="J15:N18" si="0">IF(instatk="Mut",R36,J43)</f>
        <v>0.39999999999999991</v>
      </c>
      <c r="K15" s="1292">
        <f t="shared" si="0"/>
        <v>1.4</v>
      </c>
      <c r="L15" s="1292">
        <f t="shared" si="0"/>
        <v>2.4</v>
      </c>
      <c r="M15" s="1292">
        <f t="shared" si="0"/>
        <v>3.4</v>
      </c>
      <c r="N15" s="1293">
        <f t="shared" si="0"/>
        <v>4.4000000000000004</v>
      </c>
      <c r="O15" s="86"/>
      <c r="P15" s="86"/>
      <c r="Q15" s="86"/>
      <c r="V15" s="1187" t="s">
        <v>3018</v>
      </c>
      <c r="W15" s="1179">
        <f>X3+X4+X5+AA13+W11+W14</f>
        <v>0.43500579418954538</v>
      </c>
      <c r="X15" s="1179">
        <f>envsec+easec+evisec+rupsec+sndsec+instsec</f>
        <v>0.43500579418954544</v>
      </c>
      <c r="Y15" s="1188"/>
      <c r="Z15" s="1188"/>
      <c r="AA15" s="1188"/>
      <c r="AB15" s="1188"/>
      <c r="AE15" s="197"/>
    </row>
    <row r="16" spans="2:31">
      <c r="B16" s="207" t="s">
        <v>126</v>
      </c>
      <c r="C16">
        <v>4</v>
      </c>
      <c r="D16" s="25">
        <f>(6+3*C16+3*nb2p)*(1+0.15*isnd)</f>
        <v>30.45</v>
      </c>
      <c r="E16" s="397">
        <f>25-(5*relent*C16)-(25*C5)</f>
        <v>5</v>
      </c>
      <c r="F16" s="374" t="s">
        <v>322</v>
      </c>
      <c r="G16" s="389"/>
      <c r="H16" s="1574" t="s">
        <v>325</v>
      </c>
      <c r="I16" s="1007" t="s">
        <v>326</v>
      </c>
      <c r="J16" s="1276">
        <f t="shared" si="0"/>
        <v>1</v>
      </c>
      <c r="K16" s="1277">
        <f t="shared" si="0"/>
        <v>1</v>
      </c>
      <c r="L16" s="1277">
        <f t="shared" si="0"/>
        <v>1</v>
      </c>
      <c r="M16" s="1277">
        <f t="shared" si="0"/>
        <v>1</v>
      </c>
      <c r="N16" s="1278">
        <f t="shared" si="0"/>
        <v>1</v>
      </c>
      <c r="O16" s="86"/>
      <c r="P16" s="86"/>
      <c r="Q16" s="86"/>
      <c r="AE16" s="197"/>
    </row>
    <row r="17" spans="2:31">
      <c r="B17" s="207" t="s">
        <v>126</v>
      </c>
      <c r="C17">
        <v>5</v>
      </c>
      <c r="D17" s="25">
        <f>(6+3*C17+3*nb2p)*(1+0.15*isnd)</f>
        <v>34.799999999999997</v>
      </c>
      <c r="E17" s="397">
        <f>25-(5*relent*C17)-(25*C6)</f>
        <v>0</v>
      </c>
      <c r="F17" s="374" t="s">
        <v>322</v>
      </c>
      <c r="G17" s="389"/>
      <c r="H17" s="1575"/>
      <c r="I17" s="1007" t="s">
        <v>327</v>
      </c>
      <c r="J17" s="1276">
        <f t="shared" si="0"/>
        <v>0</v>
      </c>
      <c r="K17" s="1277">
        <f t="shared" si="0"/>
        <v>0</v>
      </c>
      <c r="L17" s="1277">
        <f t="shared" si="0"/>
        <v>0</v>
      </c>
      <c r="M17" s="1277">
        <f t="shared" si="0"/>
        <v>0</v>
      </c>
      <c r="N17" s="1278">
        <f t="shared" si="0"/>
        <v>0</v>
      </c>
      <c r="O17" s="86"/>
      <c r="P17" s="86"/>
      <c r="Q17" s="86"/>
      <c r="AE17" s="197"/>
    </row>
    <row r="18" spans="2:31" ht="13.5" thickBot="1">
      <c r="B18" s="399"/>
      <c r="C18" s="400"/>
      <c r="D18" s="401"/>
      <c r="E18" s="400"/>
      <c r="F18" s="400"/>
      <c r="G18" s="389"/>
      <c r="H18" s="1576"/>
      <c r="I18" s="1023" t="s">
        <v>328</v>
      </c>
      <c r="J18" s="1279">
        <f t="shared" si="0"/>
        <v>0</v>
      </c>
      <c r="K18" s="1280">
        <f t="shared" si="0"/>
        <v>0</v>
      </c>
      <c r="L18" s="1280">
        <f t="shared" si="0"/>
        <v>0</v>
      </c>
      <c r="M18" s="1280">
        <f t="shared" si="0"/>
        <v>0</v>
      </c>
      <c r="N18" s="1281">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5">
        <v>1</v>
      </c>
      <c r="K22" s="1286">
        <v>2</v>
      </c>
      <c r="L22" s="1286">
        <v>3</v>
      </c>
      <c r="M22" s="1286">
        <v>4</v>
      </c>
      <c r="N22" s="1287">
        <v>5</v>
      </c>
      <c r="P22" s="1568" t="s">
        <v>319</v>
      </c>
      <c r="Q22" s="1569"/>
      <c r="R22" s="1288">
        <v>1</v>
      </c>
      <c r="S22" s="1289">
        <v>2</v>
      </c>
      <c r="T22" s="1289">
        <v>3</v>
      </c>
      <c r="U22" s="1289">
        <v>4</v>
      </c>
      <c r="V22" s="1290">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0"/>
      <c r="K23" s="1191"/>
      <c r="L23" s="1191"/>
      <c r="M23" s="1191"/>
      <c r="N23" s="1192"/>
      <c r="P23" s="1570" t="s">
        <v>331</v>
      </c>
      <c r="Q23" s="1571"/>
      <c r="R23" s="1228"/>
      <c r="S23" s="1229"/>
      <c r="T23" s="1229"/>
      <c r="U23" s="1229"/>
      <c r="V23" s="1230"/>
      <c r="AE23" s="197"/>
    </row>
    <row r="24" spans="2:31" ht="12.75" customHeight="1">
      <c r="B24" s="207" t="s">
        <v>128</v>
      </c>
      <c r="C24">
        <v>5</v>
      </c>
      <c r="D24" s="402" t="s">
        <v>322</v>
      </c>
      <c r="E24" s="397">
        <f>$O$4-(5*relent*C24)-(35*E6)</f>
        <v>10</v>
      </c>
      <c r="F24" s="397">
        <f>(($S$3+$S$4*C24+ap*0.03*C24)*$O$5+IF(AND(Hemorrhage=1,OR(Talents!O25="No",instatk&lt;&gt;"HEMO")),42*HDebuff,0))*$K$4*$P$5</f>
        <v>1459.2710844590233</v>
      </c>
      <c r="H24" s="1193" t="s">
        <v>922</v>
      </c>
      <c r="I24" s="1194" t="s">
        <v>2298</v>
      </c>
      <c r="J24" s="1195"/>
      <c r="K24" s="1102"/>
      <c r="L24" s="1102"/>
      <c r="M24" s="1102"/>
      <c r="N24" s="1196"/>
      <c r="P24" s="1231" t="s">
        <v>922</v>
      </c>
      <c r="Q24" s="1232" t="s">
        <v>2298</v>
      </c>
      <c r="R24" s="1233"/>
      <c r="S24" s="1234"/>
      <c r="T24" s="1234"/>
      <c r="U24" s="1234"/>
      <c r="V24" s="1235"/>
      <c r="AE24" s="197"/>
    </row>
    <row r="25" spans="2:31">
      <c r="B25" s="399"/>
      <c r="C25" s="400"/>
      <c r="D25" s="401"/>
      <c r="E25" s="400"/>
      <c r="F25" s="400"/>
      <c r="H25" s="1197">
        <v>0</v>
      </c>
      <c r="I25" s="1198">
        <v>0</v>
      </c>
      <c r="J25" s="1199">
        <f>(1-$Q$44)*(1-$Q$45)</f>
        <v>0.39999999999999991</v>
      </c>
      <c r="K25" s="1200">
        <f>(1-$Q$44)*(1-$Q$45)</f>
        <v>0.39999999999999991</v>
      </c>
      <c r="L25" s="1200">
        <f>(1-$Q$44)*(1-$Q$45)</f>
        <v>0.39999999999999991</v>
      </c>
      <c r="M25" s="1200">
        <f>(1-$Q$44)*(1-$Q$45)</f>
        <v>0.39999999999999991</v>
      </c>
      <c r="N25" s="1201">
        <f>(1-$Q$44)*(1-$Q$45)</f>
        <v>0.39999999999999991</v>
      </c>
      <c r="P25" s="1236">
        <v>0</v>
      </c>
      <c r="Q25" s="1237">
        <v>0</v>
      </c>
      <c r="R25" s="1238">
        <f>(1-$R$44)*(1-$R$45)</f>
        <v>0.39999999999999991</v>
      </c>
      <c r="S25" s="1239">
        <f>(1-$R$44)*(1-$R$45)</f>
        <v>0.39999999999999991</v>
      </c>
      <c r="T25" s="1239">
        <f>(1-$R$44)*(1-$R$45)</f>
        <v>0.39999999999999991</v>
      </c>
      <c r="U25" s="1239">
        <f>(1-$R$44)*(1-$R$45)</f>
        <v>0.39999999999999991</v>
      </c>
      <c r="V25" s="1240">
        <f>(1-$R$44)*(1-$R$45)</f>
        <v>0.39999999999999991</v>
      </c>
      <c r="AE25" s="197"/>
    </row>
    <row r="26" spans="2:31">
      <c r="B26" s="399"/>
      <c r="C26" s="400"/>
      <c r="D26" s="401"/>
      <c r="E26" s="400"/>
      <c r="F26" s="400"/>
      <c r="H26" s="1197">
        <v>1</v>
      </c>
      <c r="I26" s="1198">
        <v>0</v>
      </c>
      <c r="J26" s="1202">
        <f>(1-$Q$44)*$Q$45+$Q$44*(1-$Q$45)</f>
        <v>0.60000000000000009</v>
      </c>
      <c r="K26" s="1200">
        <f>(1-$Q$44)*$Q$45+$Q$44*(1-$Q$45)</f>
        <v>0.60000000000000009</v>
      </c>
      <c r="L26" s="1200">
        <f>(1-$Q$44)*$Q$45+$Q$44*(1-$Q$45)</f>
        <v>0.60000000000000009</v>
      </c>
      <c r="M26" s="1200">
        <f>(1-$Q$44)*$Q$45+$Q$44*(1-$Q$45)</f>
        <v>0.60000000000000009</v>
      </c>
      <c r="N26" s="1201">
        <f>(1-$Q$44)*$Q$45+$Q$44*(1-$Q$45)</f>
        <v>0.60000000000000009</v>
      </c>
      <c r="P26" s="1236">
        <v>1</v>
      </c>
      <c r="Q26" s="1237">
        <v>0</v>
      </c>
      <c r="R26" s="1241">
        <f>(1-$R$44)*$R$45+$R$44*(1-$R$45)</f>
        <v>0.60000000000000009</v>
      </c>
      <c r="S26" s="1239">
        <f>(1-$R$44)*$R$45+$R$44*(1-$R$45)</f>
        <v>0.60000000000000009</v>
      </c>
      <c r="T26" s="1239">
        <f>(1-$R$44)*$R$45+$R$44*(1-$R$45)</f>
        <v>0.60000000000000009</v>
      </c>
      <c r="U26" s="1239">
        <f>(1-$R$44)*$R$45+$R$44*(1-$R$45)</f>
        <v>0.60000000000000009</v>
      </c>
      <c r="V26" s="1240">
        <f>(1-$R$44)*$R$45+$R$44*(1-$R$45)</f>
        <v>0.60000000000000009</v>
      </c>
      <c r="AE26" s="197"/>
    </row>
    <row r="27" spans="2:31" ht="12.75" customHeight="1">
      <c r="B27" s="207" t="s">
        <v>1347</v>
      </c>
      <c r="C27">
        <v>1</v>
      </c>
      <c r="D27" s="25">
        <f>(6+2*C27)</f>
        <v>8</v>
      </c>
      <c r="E27" s="397">
        <f>$O$3-(5*relent*C27)-(25*D2)</f>
        <v>20</v>
      </c>
      <c r="F27" s="397">
        <f>(324+0.04*ap)*(1+0.1*serrb)*(1+mangle*0.3)</f>
        <v>450.62115753331858</v>
      </c>
      <c r="H27" s="1203">
        <v>2</v>
      </c>
      <c r="I27" s="1204">
        <v>0</v>
      </c>
      <c r="J27" s="1205">
        <f>$Q$44*$Q$45</f>
        <v>0</v>
      </c>
      <c r="K27" s="1206">
        <f>$Q$44*$Q$45</f>
        <v>0</v>
      </c>
      <c r="L27" s="1207">
        <f>$Q$44*$Q$45</f>
        <v>0</v>
      </c>
      <c r="M27" s="1207">
        <f>$Q$44*$Q$45</f>
        <v>0</v>
      </c>
      <c r="N27" s="1208">
        <f>$Q$44*$Q$45</f>
        <v>0</v>
      </c>
      <c r="P27" s="1242">
        <v>2</v>
      </c>
      <c r="Q27" s="1243">
        <v>0</v>
      </c>
      <c r="R27" s="1244">
        <f>$R$44*$R$45</f>
        <v>0</v>
      </c>
      <c r="S27" s="1245">
        <f>$R$44*$R$45</f>
        <v>0</v>
      </c>
      <c r="T27" s="1246">
        <f>$R$44*$R$45</f>
        <v>0</v>
      </c>
      <c r="U27" s="1246">
        <f>$R$44*$R$45</f>
        <v>0</v>
      </c>
      <c r="V27" s="1247">
        <f>$R$44*$R$45</f>
        <v>0</v>
      </c>
      <c r="AE27" s="197"/>
    </row>
    <row r="28" spans="2:31" ht="12.75" customHeight="1">
      <c r="B28" s="207" t="s">
        <v>1347</v>
      </c>
      <c r="C28">
        <v>2</v>
      </c>
      <c r="D28" s="25">
        <f>(6+2*C28)</f>
        <v>10</v>
      </c>
      <c r="E28" s="397">
        <f>$O$3-(5*relent*C28)-(25*D3)</f>
        <v>15</v>
      </c>
      <c r="F28" s="25">
        <f>(460+ap*0.1)*(1+0.1*serrb)*(1+mangle*0.3)</f>
        <v>776.55289383329648</v>
      </c>
      <c r="H28" s="1209">
        <v>1</v>
      </c>
      <c r="I28" s="1210">
        <v>1</v>
      </c>
      <c r="J28" s="1211">
        <f>J25*(1-$Q$46)</f>
        <v>0.39999999999999991</v>
      </c>
      <c r="K28" s="1212">
        <f>K25*(1-$Q$46)</f>
        <v>0.39999999999999991</v>
      </c>
      <c r="L28" s="1212">
        <f>L25*(1-$Q$46)</f>
        <v>0.39999999999999991</v>
      </c>
      <c r="M28" s="1212">
        <f>M25*(1-$Q$46)</f>
        <v>0.39999999999999991</v>
      </c>
      <c r="N28" s="1213">
        <f>N25*(1-$Q$46)</f>
        <v>0.39999999999999991</v>
      </c>
      <c r="P28" s="1248">
        <v>2</v>
      </c>
      <c r="Q28" s="1249">
        <v>1</v>
      </c>
      <c r="R28" s="1250">
        <f>R25*(1-$R$46)</f>
        <v>0.39999999999999991</v>
      </c>
      <c r="S28" s="1251">
        <f>S25*(1-$R$46)</f>
        <v>0.39999999999999991</v>
      </c>
      <c r="T28" s="1252">
        <f>T25*(1-$R$46)</f>
        <v>0.39999999999999991</v>
      </c>
      <c r="U28" s="1253">
        <f>U25*(1-$R$46)</f>
        <v>0.39999999999999991</v>
      </c>
      <c r="V28" s="1254">
        <f>V25*(1-$R$46)</f>
        <v>0.39999999999999991</v>
      </c>
      <c r="AE28" s="197"/>
    </row>
    <row r="29" spans="2:31">
      <c r="B29" s="207" t="s">
        <v>1347</v>
      </c>
      <c r="C29">
        <v>3</v>
      </c>
      <c r="D29" s="25">
        <f>(6+2*C29)</f>
        <v>12</v>
      </c>
      <c r="E29" s="397">
        <f>$O$3-(5*relent*C29)-(25*D4)</f>
        <v>10</v>
      </c>
      <c r="F29" s="25">
        <f>(618+ap*0.18)*(1+0.1*serrb)*(1+mangle*0.3)</f>
        <v>1187.7952088999336</v>
      </c>
      <c r="H29" s="1197">
        <v>2</v>
      </c>
      <c r="I29" s="1198">
        <v>1</v>
      </c>
      <c r="J29" s="1202">
        <f>J25*$Q$46</f>
        <v>0</v>
      </c>
      <c r="K29" s="1214">
        <f>K25*$Q$46+K26*(1-$Q$46)</f>
        <v>0.60000000000000009</v>
      </c>
      <c r="L29" s="1200">
        <f>L25*$Q$46+L26*(1-$Q$46)</f>
        <v>0.60000000000000009</v>
      </c>
      <c r="M29" s="1200">
        <f>M25*$Q$46+M26*(1-$Q$46)</f>
        <v>0.60000000000000009</v>
      </c>
      <c r="N29" s="1201">
        <f>N25*$Q$46+N26*(1-$Q$46)</f>
        <v>0.60000000000000009</v>
      </c>
      <c r="P29" s="1236">
        <v>3</v>
      </c>
      <c r="Q29" s="1237">
        <v>1</v>
      </c>
      <c r="R29" s="1241">
        <f>R25*$R$46</f>
        <v>0</v>
      </c>
      <c r="S29" s="1255">
        <f>R25*$R$46+S26*(1-$R$46)</f>
        <v>0.60000000000000009</v>
      </c>
      <c r="T29" s="1255">
        <f>S25*$R$46+T26*(1-$R$46)</f>
        <v>0.60000000000000009</v>
      </c>
      <c r="U29" s="1239">
        <f>T25*$R$46+U26*(1-$R$46)</f>
        <v>0.60000000000000009</v>
      </c>
      <c r="V29" s="1240">
        <f>U25*$R$46+V26*(1-$R$46)</f>
        <v>0.60000000000000009</v>
      </c>
      <c r="AE29" s="197"/>
    </row>
    <row r="30" spans="2:31">
      <c r="B30" s="207" t="s">
        <v>1347</v>
      </c>
      <c r="C30">
        <v>4</v>
      </c>
      <c r="D30" s="25">
        <f>(6+2*C30)</f>
        <v>14</v>
      </c>
      <c r="E30" s="397">
        <f>$O$3-(5*relent*C30)-(25*D5)</f>
        <v>5</v>
      </c>
      <c r="F30" s="25">
        <f>(798+ap*0.21)*(1+0.1*serrb)*(1+mangle*0.3)</f>
        <v>1462.7610770499225</v>
      </c>
      <c r="H30" s="1197">
        <v>3</v>
      </c>
      <c r="I30" s="1198">
        <v>1</v>
      </c>
      <c r="J30" s="1215">
        <v>0</v>
      </c>
      <c r="K30" s="1214">
        <f>K26*$Q$46</f>
        <v>0</v>
      </c>
      <c r="L30" s="1214">
        <f>L26*$Q$46+L27*(1-$Q$46)</f>
        <v>0</v>
      </c>
      <c r="M30" s="1200">
        <f>M26*$Q$46+M27*(1-$Q$46)</f>
        <v>0</v>
      </c>
      <c r="N30" s="1201">
        <f>N26*$Q$46+N27*(1-$Q$46)</f>
        <v>0</v>
      </c>
      <c r="P30" s="1236">
        <v>4</v>
      </c>
      <c r="Q30" s="1237">
        <v>1</v>
      </c>
      <c r="R30" s="1256">
        <v>0</v>
      </c>
      <c r="S30" s="1255">
        <f>S26*$R$46</f>
        <v>0</v>
      </c>
      <c r="T30" s="1255">
        <f>T26*$R$46+T27*(1-$R$46)</f>
        <v>0</v>
      </c>
      <c r="U30" s="1255">
        <f>U26*$R$46+U27*(1-$R$46)</f>
        <v>0</v>
      </c>
      <c r="V30" s="1240">
        <f>V26*$R$46+V27*(1-$R$46)</f>
        <v>0</v>
      </c>
      <c r="AE30" s="197"/>
    </row>
    <row r="31" spans="2:31">
      <c r="B31" s="207" t="s">
        <v>1347</v>
      </c>
      <c r="C31">
        <v>5</v>
      </c>
      <c r="D31" s="25">
        <f>(6+2*C31)</f>
        <v>16</v>
      </c>
      <c r="E31" s="397">
        <f>$O$3-(5*relent*C31)-(25*D6)</f>
        <v>0</v>
      </c>
      <c r="F31" s="25">
        <f>(1000+ap*0.24)*(1+0.1*serrb)*(1+mangle*0.3)</f>
        <v>1759.7269451999114</v>
      </c>
      <c r="H31" s="1203">
        <v>4</v>
      </c>
      <c r="I31" s="1204">
        <v>1</v>
      </c>
      <c r="J31" s="1216">
        <v>0</v>
      </c>
      <c r="K31" s="1217">
        <v>0</v>
      </c>
      <c r="L31" s="1206">
        <f>L27*$Q$46</f>
        <v>0</v>
      </c>
      <c r="M31" s="1206">
        <f>M27*$Q$46</f>
        <v>0</v>
      </c>
      <c r="N31" s="1208">
        <f>N27*$Q$46</f>
        <v>0</v>
      </c>
      <c r="P31" s="1242">
        <v>5</v>
      </c>
      <c r="Q31" s="1243">
        <v>1</v>
      </c>
      <c r="R31" s="1257">
        <v>0</v>
      </c>
      <c r="S31" s="1258">
        <v>0</v>
      </c>
      <c r="T31" s="1245">
        <f>T27*$R$46</f>
        <v>0</v>
      </c>
      <c r="U31" s="1245">
        <f>U27*$R$46</f>
        <v>0</v>
      </c>
      <c r="V31" s="1259">
        <f>V27*$R$46</f>
        <v>0</v>
      </c>
      <c r="AE31" s="197"/>
    </row>
    <row r="32" spans="2:31">
      <c r="B32" s="399"/>
      <c r="C32" s="400"/>
      <c r="D32" s="401"/>
      <c r="E32" s="400"/>
      <c r="F32" s="400"/>
      <c r="H32" s="1209">
        <v>2</v>
      </c>
      <c r="I32" s="1210">
        <v>2</v>
      </c>
      <c r="J32" s="1218">
        <v>0</v>
      </c>
      <c r="K32" s="1219">
        <f>K28*(1-$Q$46)</f>
        <v>0.39999999999999991</v>
      </c>
      <c r="L32" s="1212">
        <f>L28*(1-$Q$46)</f>
        <v>0.39999999999999991</v>
      </c>
      <c r="M32" s="1212">
        <f>M28*(1-$Q$46)</f>
        <v>0.39999999999999991</v>
      </c>
      <c r="N32" s="1213">
        <f>N28*(1-$Q$46)</f>
        <v>0.39999999999999991</v>
      </c>
      <c r="P32" s="1248">
        <v>4</v>
      </c>
      <c r="Q32" s="1249">
        <v>2</v>
      </c>
      <c r="R32" s="1260">
        <v>0</v>
      </c>
      <c r="S32" s="1261">
        <v>0</v>
      </c>
      <c r="T32" s="1251">
        <f>T28*(1-$R$46)</f>
        <v>0.39999999999999991</v>
      </c>
      <c r="U32" s="1251">
        <f>U28*(1-$R$46)</f>
        <v>0.39999999999999991</v>
      </c>
      <c r="V32" s="1254">
        <f>V28*(1-$R$46)</f>
        <v>0.39999999999999991</v>
      </c>
      <c r="AE32" s="403"/>
    </row>
    <row r="33" spans="2:31">
      <c r="B33" s="399"/>
      <c r="C33" s="400"/>
      <c r="D33" s="401"/>
      <c r="E33" s="400"/>
      <c r="F33" s="400"/>
      <c r="H33" s="1197">
        <v>3</v>
      </c>
      <c r="I33" s="1198">
        <v>2</v>
      </c>
      <c r="J33" s="1215">
        <v>0</v>
      </c>
      <c r="K33" s="1214">
        <f>K28*$Q$46</f>
        <v>0</v>
      </c>
      <c r="L33" s="1214">
        <f>L28*$Q$46+L29*(1-$Q$46)</f>
        <v>0.60000000000000009</v>
      </c>
      <c r="M33" s="1200">
        <f>M28*$Q$46+M29*(1-$Q$46)</f>
        <v>0.60000000000000009</v>
      </c>
      <c r="N33" s="1201">
        <f>N28*$Q$46+N29*(1-$Q$46)</f>
        <v>0.60000000000000009</v>
      </c>
      <c r="P33" s="1242">
        <v>5</v>
      </c>
      <c r="Q33" s="1243">
        <v>2</v>
      </c>
      <c r="R33" s="1257">
        <v>0</v>
      </c>
      <c r="S33" s="1258">
        <v>0</v>
      </c>
      <c r="T33" s="1245">
        <f>T28*$R$46</f>
        <v>0</v>
      </c>
      <c r="U33" s="1245">
        <f>U28*$R$46+U29</f>
        <v>0.60000000000000009</v>
      </c>
      <c r="V33" s="1259">
        <f>V28*$R$46+V29+V30</f>
        <v>0.60000000000000009</v>
      </c>
      <c r="AE33" s="396"/>
    </row>
    <row r="34" spans="2:31">
      <c r="B34" s="207" t="s">
        <v>127</v>
      </c>
      <c r="C34">
        <v>1</v>
      </c>
      <c r="D34" s="402" t="s">
        <v>322</v>
      </c>
      <c r="E34" s="397">
        <f>$O$4-(5*relent*C34)-(35*E2)</f>
        <v>30</v>
      </c>
      <c r="F34" s="397">
        <f>($S$2*C34+ap*0.03*C34)*$P$5*vp*(1+(0.01*miseryimp)*misery)*(1+(thunderfury*thunderfurydps))</f>
        <v>394.85850700419155</v>
      </c>
      <c r="H34" s="1197">
        <v>4</v>
      </c>
      <c r="I34" s="1198">
        <v>2</v>
      </c>
      <c r="J34" s="1215">
        <v>0</v>
      </c>
      <c r="K34" s="1220">
        <v>0</v>
      </c>
      <c r="L34" s="1214">
        <f>L29*$Q$46</f>
        <v>0</v>
      </c>
      <c r="M34" s="1214">
        <f>M29*$Q$46+M30*(1-$Q$46)</f>
        <v>0</v>
      </c>
      <c r="N34" s="1201">
        <f>N29*$Q$46+N30*(1-$Q$46)</f>
        <v>0</v>
      </c>
      <c r="P34" s="1262">
        <v>5</v>
      </c>
      <c r="Q34" s="1263">
        <v>3</v>
      </c>
      <c r="R34" s="1264">
        <v>0</v>
      </c>
      <c r="S34" s="1265">
        <v>0</v>
      </c>
      <c r="T34" s="1265">
        <v>0</v>
      </c>
      <c r="U34" s="1265">
        <v>0</v>
      </c>
      <c r="V34" s="1266">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3">
        <v>5</v>
      </c>
      <c r="I35" s="1204">
        <v>2</v>
      </c>
      <c r="J35" s="1216">
        <v>0</v>
      </c>
      <c r="K35" s="1217">
        <v>0</v>
      </c>
      <c r="L35" s="1217">
        <v>0</v>
      </c>
      <c r="M35" s="1206">
        <f>M30*$Q$46</f>
        <v>0</v>
      </c>
      <c r="N35" s="1221">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197">
        <v>3</v>
      </c>
      <c r="I36" s="1198">
        <v>3</v>
      </c>
      <c r="J36" s="1215">
        <v>0</v>
      </c>
      <c r="K36" s="1220">
        <v>0</v>
      </c>
      <c r="L36" s="1214">
        <f>L32*(1-$Q$46)</f>
        <v>0.39999999999999991</v>
      </c>
      <c r="M36" s="1200">
        <f>M32*(1-$Q$46)</f>
        <v>0.39999999999999991</v>
      </c>
      <c r="N36" s="1201">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197">
        <v>4</v>
      </c>
      <c r="I37" s="1198">
        <v>3</v>
      </c>
      <c r="J37" s="1215">
        <v>0</v>
      </c>
      <c r="K37" s="1220">
        <v>0</v>
      </c>
      <c r="L37" s="1214">
        <f>L32*$Q$46</f>
        <v>0</v>
      </c>
      <c r="M37" s="1214">
        <f>M32*$Q$46+M33*(1-$Q$46)</f>
        <v>0.60000000000000009</v>
      </c>
      <c r="N37" s="1201">
        <f>N32*$Q$46+N33*(1-$Q$46)</f>
        <v>0.60000000000000009</v>
      </c>
      <c r="P37" s="1574" t="s">
        <v>325</v>
      </c>
      <c r="Q37" s="1301" t="s">
        <v>326</v>
      </c>
      <c r="R37" s="1238">
        <f>R26</f>
        <v>0.60000000000000009</v>
      </c>
      <c r="S37" s="1239">
        <f>S27+S28</f>
        <v>0.39999999999999991</v>
      </c>
      <c r="T37" s="1239">
        <f>T29</f>
        <v>0.60000000000000009</v>
      </c>
      <c r="U37" s="1239">
        <f>U30+U32</f>
        <v>0.39999999999999991</v>
      </c>
      <c r="V37" s="1267">
        <f>V31+V33+V34</f>
        <v>1</v>
      </c>
    </row>
    <row r="38" spans="2:31">
      <c r="B38" s="207" t="s">
        <v>127</v>
      </c>
      <c r="C38">
        <v>5</v>
      </c>
      <c r="D38" s="402" t="s">
        <v>322</v>
      </c>
      <c r="E38" s="397">
        <f>$O$4-(5*relent*C38)-(35*E6)</f>
        <v>10</v>
      </c>
      <c r="F38" s="397">
        <f>($S$2*C38+ap*0.03*C38)*$P$5*vp*(1+(0.01*miseryimp)*misery)*(1+(thunderfury*thunderfurydps))</f>
        <v>1974.2925350209578</v>
      </c>
      <c r="H38" s="1203">
        <v>5</v>
      </c>
      <c r="I38" s="1204">
        <v>3</v>
      </c>
      <c r="J38" s="1216">
        <v>0</v>
      </c>
      <c r="K38" s="1217">
        <v>0</v>
      </c>
      <c r="L38" s="1217">
        <v>0</v>
      </c>
      <c r="M38" s="1206">
        <f>M33*$Q$46</f>
        <v>0</v>
      </c>
      <c r="N38" s="1221">
        <f>N33*$Q$46+N34</f>
        <v>0</v>
      </c>
      <c r="P38" s="1575"/>
      <c r="Q38" s="1301" t="s">
        <v>327</v>
      </c>
      <c r="R38" s="1238">
        <f>R27+R28</f>
        <v>0.39999999999999991</v>
      </c>
      <c r="S38" s="1239">
        <f>S29</f>
        <v>0.60000000000000009</v>
      </c>
      <c r="T38" s="1239">
        <f>T30+T32</f>
        <v>0.39999999999999991</v>
      </c>
      <c r="U38" s="1239">
        <f>U31+U33</f>
        <v>0.60000000000000009</v>
      </c>
      <c r="V38" s="1268">
        <v>0</v>
      </c>
    </row>
    <row r="39" spans="2:31" ht="13.5" thickBot="1">
      <c r="B39" s="411" t="s">
        <v>3144</v>
      </c>
      <c r="C39" s="400"/>
      <c r="D39" s="400"/>
      <c r="E39" s="400"/>
      <c r="F39" s="400"/>
      <c r="H39" s="1197">
        <v>4</v>
      </c>
      <c r="I39" s="1198">
        <v>4</v>
      </c>
      <c r="J39" s="1215">
        <v>0</v>
      </c>
      <c r="K39" s="1220">
        <v>0</v>
      </c>
      <c r="L39" s="1220">
        <v>0</v>
      </c>
      <c r="M39" s="1214">
        <f>M36*(1-$Q$46)</f>
        <v>0.39999999999999991</v>
      </c>
      <c r="N39" s="1201">
        <f>N36*(1-$Q$46)</f>
        <v>0.39999999999999991</v>
      </c>
      <c r="P39" s="1576"/>
      <c r="Q39" s="1302" t="s">
        <v>328</v>
      </c>
      <c r="R39" s="1272">
        <f>R29</f>
        <v>0</v>
      </c>
      <c r="S39" s="1273">
        <f>S30</f>
        <v>0</v>
      </c>
      <c r="T39" s="1273">
        <f>T31+T33</f>
        <v>0</v>
      </c>
      <c r="U39" s="1274">
        <v>0</v>
      </c>
      <c r="V39" s="1275">
        <v>0</v>
      </c>
    </row>
    <row r="40" spans="2:31">
      <c r="B40" s="399"/>
      <c r="C40" s="400"/>
      <c r="D40" s="400"/>
      <c r="E40" s="400"/>
      <c r="F40" s="400"/>
      <c r="H40" s="1197">
        <v>5</v>
      </c>
      <c r="I40" s="1198">
        <v>4</v>
      </c>
      <c r="J40" s="1215">
        <v>0</v>
      </c>
      <c r="K40" s="1220">
        <v>0</v>
      </c>
      <c r="L40" s="1220">
        <v>0</v>
      </c>
      <c r="M40" s="1214">
        <f>M36*$Q$46</f>
        <v>0</v>
      </c>
      <c r="N40" s="1222">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3">
        <v>5</v>
      </c>
      <c r="I41" s="1224">
        <v>5</v>
      </c>
      <c r="J41" s="1225">
        <v>0</v>
      </c>
      <c r="K41" s="1226">
        <v>0</v>
      </c>
      <c r="L41" s="1226">
        <v>0</v>
      </c>
      <c r="M41" s="1226">
        <v>0</v>
      </c>
      <c r="N41" s="1227">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1" t="s">
        <v>326</v>
      </c>
      <c r="J44" s="1238">
        <f>J26+J28</f>
        <v>1</v>
      </c>
      <c r="K44" s="1239">
        <f>K27+K29+K32</f>
        <v>1</v>
      </c>
      <c r="L44" s="1239">
        <f>L30+L33+L36</f>
        <v>1</v>
      </c>
      <c r="M44" s="1239">
        <f>M31+M34+M37+M39</f>
        <v>1</v>
      </c>
      <c r="N44" s="1267">
        <f>N35+N38+N40+N41</f>
        <v>1</v>
      </c>
      <c r="P44" s="51" t="s">
        <v>335</v>
      </c>
      <c r="Q44" s="94">
        <f>0.2*ruth</f>
        <v>0.60000000000000009</v>
      </c>
      <c r="R44" s="94">
        <f>0.2*ruth</f>
        <v>0.60000000000000009</v>
      </c>
    </row>
    <row r="45" spans="2:31">
      <c r="B45" s="207" t="s">
        <v>332</v>
      </c>
      <c r="C45">
        <v>5</v>
      </c>
      <c r="D45" s="402">
        <v>30</v>
      </c>
      <c r="E45" s="397">
        <f>$O$3-(5*relent*C45)-(25*D6)</f>
        <v>0</v>
      </c>
      <c r="F45" s="397"/>
      <c r="H45" s="1575"/>
      <c r="I45" s="1301" t="s">
        <v>327</v>
      </c>
      <c r="J45" s="1238">
        <f>J27+J29</f>
        <v>0</v>
      </c>
      <c r="K45" s="1239">
        <f>K30+K33</f>
        <v>0</v>
      </c>
      <c r="L45" s="1239">
        <f>L31+L34+L37</f>
        <v>0</v>
      </c>
      <c r="M45" s="1239">
        <f>M35+M38+M40</f>
        <v>0</v>
      </c>
      <c r="N45" s="1268">
        <v>0</v>
      </c>
      <c r="P45" s="17" t="s">
        <v>336</v>
      </c>
      <c r="Q45" s="94">
        <f>0.15*nb4p</f>
        <v>0</v>
      </c>
      <c r="R45" s="94">
        <f>0.15*nb4p</f>
        <v>0</v>
      </c>
    </row>
    <row r="46" spans="2:31" ht="13.5" thickBot="1">
      <c r="B46" s="411"/>
      <c r="C46" s="400"/>
      <c r="D46" s="400"/>
      <c r="E46" s="400"/>
      <c r="F46" s="400"/>
      <c r="H46" s="1576"/>
      <c r="I46" s="1302" t="s">
        <v>328</v>
      </c>
      <c r="J46" s="1269">
        <v>0</v>
      </c>
      <c r="K46" s="1270">
        <v>0</v>
      </c>
      <c r="L46" s="1270">
        <v>0</v>
      </c>
      <c r="M46" s="1270">
        <v>0</v>
      </c>
      <c r="N46" s="1271">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1" t="s">
        <v>3139</v>
      </c>
      <c r="S48" s="901" t="s">
        <v>3140</v>
      </c>
      <c r="T48" s="901" t="s">
        <v>3141</v>
      </c>
    </row>
    <row r="49" spans="2:43">
      <c r="R49" s="901">
        <f>IF(time=0,0,VLOOKUP(0,CHOOSE({1,2},'Cooldowns Calc'!AH$3:AH$602,'Cooldowns Calc'!$A$3:$A$602),2,FALSE))</f>
        <v>1</v>
      </c>
      <c r="S49" s="901">
        <f>IF(time=0,0,VLOOKUP(0,CHOOSE({1,2},'Cooldowns Calc'!AI$3:AI$602,'Cooldowns Calc'!$A$3:$A$602),2,FALSE))</f>
        <v>6</v>
      </c>
      <c r="T49" s="901">
        <f>IF(time=0,0,VLOOKUP(0,CHOOSE({1,2},'Cooldowns Calc'!AJ$3:AJ$602,'Cooldowns Calc'!$A$3:$A$602),2,FALSE))</f>
        <v>0</v>
      </c>
    </row>
    <row r="50" spans="2:43">
      <c r="R50" s="901"/>
      <c r="S50" s="901"/>
      <c r="T50" s="901"/>
    </row>
    <row r="51" spans="2:43">
      <c r="I51" t="str">
        <f>cycle</f>
        <v>Cycle: 1s/5r   SnD Slack: 1.24</v>
      </c>
      <c r="L51" s="902" t="s">
        <v>1136</v>
      </c>
      <c r="M51" s="1591" t="s">
        <v>3103</v>
      </c>
      <c r="N51" s="1591"/>
    </row>
    <row r="52" spans="2:43" ht="30">
      <c r="B52" s="1363" t="s">
        <v>338</v>
      </c>
      <c r="C52" s="1363"/>
      <c r="D52" s="1363"/>
      <c r="E52" s="1363"/>
      <c r="F52" s="1363"/>
      <c r="G52" s="1363"/>
      <c r="H52" s="1363"/>
      <c r="I52" s="1364" t="s">
        <v>1537</v>
      </c>
      <c r="J52" s="1365">
        <f>'Damage Calc'!$J$16</f>
        <v>1555.182530256119</v>
      </c>
      <c r="K52" s="1364"/>
      <c r="L52" s="1366">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2" t="s">
        <v>3031</v>
      </c>
    </row>
    <row r="54" spans="2:43">
      <c r="B54" s="1583"/>
      <c r="C54" s="422" t="s">
        <v>126</v>
      </c>
      <c r="D54" s="422" t="s">
        <v>346</v>
      </c>
      <c r="E54" s="422" t="s">
        <v>347</v>
      </c>
      <c r="F54" s="422" t="s">
        <v>348</v>
      </c>
      <c r="G54" s="1371" t="s">
        <v>332</v>
      </c>
      <c r="H54" s="424" t="s">
        <v>1894</v>
      </c>
      <c r="I54" s="425" t="s">
        <v>1894</v>
      </c>
      <c r="J54" s="422" t="s">
        <v>2298</v>
      </c>
      <c r="K54" s="422" t="s">
        <v>1012</v>
      </c>
      <c r="L54" s="424" t="s">
        <v>1894</v>
      </c>
      <c r="M54" s="426" t="s">
        <v>1894</v>
      </c>
      <c r="N54" s="422" t="s">
        <v>126</v>
      </c>
      <c r="O54" s="422" t="s">
        <v>1188</v>
      </c>
      <c r="P54" s="1371" t="s">
        <v>332</v>
      </c>
      <c r="Q54" s="427" t="s">
        <v>1024</v>
      </c>
      <c r="R54" s="428" t="s">
        <v>126</v>
      </c>
      <c r="S54" s="428" t="s">
        <v>1188</v>
      </c>
      <c r="T54" s="1371" t="s">
        <v>332</v>
      </c>
      <c r="U54" s="428" t="s">
        <v>126</v>
      </c>
      <c r="V54" s="428" t="s">
        <v>1188</v>
      </c>
      <c r="W54" s="1371"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1"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6">
        <v>0</v>
      </c>
      <c r="S56" s="1306">
        <f>(I56+1-$J$15)*$O$2+D56*$O$3</f>
        <v>65.16326530612244</v>
      </c>
      <c r="T56" s="1306">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6">
        <v>0</v>
      </c>
      <c r="S57" s="1306">
        <f>(I57+1-$J$15)*$O$2+D57*$O$3</f>
        <v>105.32653061224489</v>
      </c>
      <c r="T57" s="1306">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6">
        <v>0</v>
      </c>
      <c r="S58" s="1306">
        <f>(I58+1-$J$15)*$O$2+D58*$O$3</f>
        <v>145.48979591836735</v>
      </c>
      <c r="T58" s="1306">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6">
        <v>0</v>
      </c>
      <c r="S59" s="1306">
        <f>(I59+1-$J$15)*$O$2+D59*$O$3</f>
        <v>185.65306122448979</v>
      </c>
      <c r="T59" s="1306">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6">
        <v>0</v>
      </c>
      <c r="S60" s="1306">
        <f>(I60+1-$J$15)*$O$2+D60*$O$3</f>
        <v>225.81632653061223</v>
      </c>
      <c r="T60" s="1306">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6">
        <f>(J$15+1-$J$15)*$O$2+25</f>
        <v>65.16326530612244</v>
      </c>
      <c r="S61" s="1306">
        <f>(I61+1-$J$15)*$O$2+C61*$E$13+D61*$O$3</f>
        <v>181.55510204081631</v>
      </c>
      <c r="T61" s="1306">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6">
        <f>(K$15+1-$J$15)*$O$2+25</f>
        <v>105.32653061224489</v>
      </c>
      <c r="S62" s="1306">
        <f>(I62+1-$J$15)*$O$2+C62*$E$14+D62*$O$3</f>
        <v>216.71836734693878</v>
      </c>
      <c r="T62" s="1306">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6">
        <f>(L$15+1-$J$15)*$O$2+25</f>
        <v>145.48979591836735</v>
      </c>
      <c r="S63" s="1306">
        <f>(I63+1-$J$15)*$O$2+C63*$E$15+D63*$O$3</f>
        <v>251.88163265306122</v>
      </c>
      <c r="T63" s="1306">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6">
        <f>(M$15+1-$J$15)*$O$2+25</f>
        <v>185.65306122448979</v>
      </c>
      <c r="S64" s="1306">
        <f>(I64+1-$J$15)*$O$2+C64*$E$16+D64*$O$3</f>
        <v>287.04489795918369</v>
      </c>
      <c r="T64" s="1306">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6">
        <f>(N$15+1-$J$15)*$O$2+25</f>
        <v>225.81632653061223</v>
      </c>
      <c r="S65" s="1306">
        <f>(I65+1-$J$15)*$O$2+C65*$E$17+D65*$O$3</f>
        <v>322.2081632653061</v>
      </c>
      <c r="T65" s="1306">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6">
        <f>(J$15+1-$J$15)*$O$2+C66*25</f>
        <v>65.16326530612244</v>
      </c>
      <c r="S66" s="1306">
        <f>(I66+1-$J$15)*$O$2+C66*$E$13+D66*$O$3</f>
        <v>221.71836734693878</v>
      </c>
      <c r="T66" s="1306">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6">
        <f>(K$15+1-$J$15)*$O$2+C67*25</f>
        <v>105.32653061224489</v>
      </c>
      <c r="S67" s="1306">
        <f>(I67+1-$J$15)*$O$2+C67*$E$14+D67*$O$3</f>
        <v>256.88163265306122</v>
      </c>
      <c r="T67" s="1306">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6">
        <f>(L$15+1-$J$15)*$O$2+C68*25</f>
        <v>145.48979591836735</v>
      </c>
      <c r="S68" s="1306">
        <f>(I68+1-$J$15)*$O$2+C68*$E$15+D68*$O$3</f>
        <v>292.04489795918369</v>
      </c>
      <c r="T68" s="1306">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6">
        <f>(M$15+1-$J$15)*$O$2+C69*25</f>
        <v>185.65306122448979</v>
      </c>
      <c r="S69" s="1306">
        <f>(I69+1-$J$15)*$O$2+C69*$E$16+D69*$O$3</f>
        <v>327.2081632653061</v>
      </c>
      <c r="T69" s="1306">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6">
        <f>(N$15+1-$J$15)*$O$2+C70*25</f>
        <v>225.81632653061223</v>
      </c>
      <c r="S70" s="1306">
        <f>(I70+1-$J$15)*$O$2+C70*$E$17+D70*$O$3</f>
        <v>362.37142857142857</v>
      </c>
      <c r="T70" s="1306">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6">
        <f>(J$15+1-$J$15)*$O$2+C71*25</f>
        <v>65.16326530612244</v>
      </c>
      <c r="S71" s="1306">
        <f>(I71+1-$J$15)*$O$2+C71*$E$13+D71*$O$3</f>
        <v>261.88163265306122</v>
      </c>
      <c r="T71" s="1306">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6">
        <f>(K$15+1-$J$15)*$O$2+C72*25</f>
        <v>105.32653061224489</v>
      </c>
      <c r="S72" s="1306">
        <f>(I72+1-$J$15)*$O$2+C72*$E$14+D72*$O$3</f>
        <v>297.04489795918369</v>
      </c>
      <c r="T72" s="1306">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6">
        <f>(L$15+1-$J$15)*$O$2+C73*25</f>
        <v>145.48979591836735</v>
      </c>
      <c r="S73" s="1306">
        <f>(I73+1-$J$15)*$O$2+C73*$E$15+D73*$O$3</f>
        <v>332.2081632653061</v>
      </c>
      <c r="T73" s="1306">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6">
        <f>(M$15+1-$J$15)*$O$2+C74*25</f>
        <v>185.65306122448979</v>
      </c>
      <c r="S74" s="1306">
        <f>(I74+1-$J$15)*$O$2+C74*$E$16+D74*$O$3</f>
        <v>367.37142857142857</v>
      </c>
      <c r="T74" s="1306">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6">
        <f>(N$15+1-$J$15)*$O$2+C75*25</f>
        <v>225.81632653061223</v>
      </c>
      <c r="S75" s="1306">
        <f>(I75+1-$J$15)*$O$2+C75*$E$17+D75*$O$3</f>
        <v>402.53469387755104</v>
      </c>
      <c r="T75" s="1306">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6">
        <f>(J$15+1-$J$15)*$O$2+25</f>
        <v>65.16326530612244</v>
      </c>
      <c r="S76" s="1306">
        <f>(I76+1-$J$15)*$O$2+$E$13+$E$16+D76*$O$3</f>
        <v>323.11020408163262</v>
      </c>
      <c r="T76" s="1306">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6">
        <f>(K$15+1-$J$15)*$O$2+25</f>
        <v>105.32653061224489</v>
      </c>
      <c r="S77" s="1306">
        <f>(I77+1-$J$15)*$O$2+$E$14+$E$16+D77*$O$3</f>
        <v>358.27346938775503</v>
      </c>
      <c r="T77" s="1306">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6">
        <f>(J$15+1-$J$15)*$O$2+25</f>
        <v>65.16326530612244</v>
      </c>
      <c r="S78" s="1306">
        <f>(I78+1-$J$15)*$O$2+$E$13+$E$16+D78*$O$3</f>
        <v>363.27346938775503</v>
      </c>
      <c r="T78" s="1306">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6">
        <f>(K$15+1-$J$15)*$O$2+25</f>
        <v>105.32653061224489</v>
      </c>
      <c r="S79" s="1306">
        <f>(I79+1-$J$15)*$O$2+$E$14+$E$16+D79*$O$3</f>
        <v>398.4367346938775</v>
      </c>
      <c r="T79" s="1306">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6">
        <f>(J$15+1-$J$15)*$O$2+25</f>
        <v>65.16326530612244</v>
      </c>
      <c r="S80" s="1306">
        <f>(I80+1-$J$15)*$O$2+$E$13+$E$16+D80*$O$3</f>
        <v>403.4367346938775</v>
      </c>
      <c r="T80" s="1306">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6">
        <f>(K$15+1-$J$15)*$O$2+25</f>
        <v>105.32653061224489</v>
      </c>
      <c r="S81" s="1306">
        <f>(I81+1-$J$15)*$O$2+$E$14+$E$16+D81*$O$3</f>
        <v>438.59999999999997</v>
      </c>
      <c r="T81" s="1306">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6">
        <f>(J$15+1-$J$15)*$O$2+25</f>
        <v>65.16326530612244</v>
      </c>
      <c r="S82" s="1306">
        <f>(I82+1-$J$15)*$O$2+$E$13+$E$17+D82*$O$3</f>
        <v>358.27346938775514</v>
      </c>
      <c r="T82" s="1306">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6">
        <f>(K$15+1-$J$15)*$O$2+25</f>
        <v>105.32653061224489</v>
      </c>
      <c r="S83" s="1306">
        <f>(I83+1-$J$15)*$O$2+$E$14+$E$17+D83*$O$3</f>
        <v>393.43673469387755</v>
      </c>
      <c r="T83" s="1306">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6">
        <f>(L$15+1-$J$15)*$O$2+25</f>
        <v>145.48979591836735</v>
      </c>
      <c r="S84" s="1306">
        <f>(I84+1-$J$15)*$O$2+$E$15+$E$17+D84*$O$3</f>
        <v>428.6</v>
      </c>
      <c r="T84" s="1306">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6">
        <f>(J$15+1-$J$15)*$O$2+25</f>
        <v>65.16326530612244</v>
      </c>
      <c r="S85" s="1306">
        <f>(I85+1-$J$15)*$O$2+$E$13+$E$17+D85*$O$3</f>
        <v>398.43673469387755</v>
      </c>
      <c r="T85" s="1306">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6">
        <f>(K$15+1-$J$15)*$O$2+25</f>
        <v>105.32653061224489</v>
      </c>
      <c r="S86" s="1306">
        <f>(I86+1-$J$15)*$O$2+$E$14+$E$17+D86*$O$3</f>
        <v>433.6</v>
      </c>
      <c r="T86" s="1306">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6">
        <f>(L$15+1-$J$15)*$O$2+25</f>
        <v>145.48979591836735</v>
      </c>
      <c r="S87" s="1306">
        <f>(I87+1-$J$15)*$O$2+$E$15+$E$17+D87*$O$3</f>
        <v>468.76326530612243</v>
      </c>
      <c r="T87" s="1306">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6">
        <f>(J$15+1-$J$15)*$O$2+25</f>
        <v>65.16326530612244</v>
      </c>
      <c r="S88" s="1306">
        <f>(I88+1-$J$15)*$O$2+$E$13+$E$17+D88*$O$3</f>
        <v>438.6</v>
      </c>
      <c r="T88" s="1306">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6">
        <f>(K$15+1-$J$15)*$O$2+25</f>
        <v>105.32653061224489</v>
      </c>
      <c r="S89" s="1306">
        <f>(I89+1-$J$15)*$O$2+$E$14+$E$17+D89*$O$3</f>
        <v>473.76326530612243</v>
      </c>
      <c r="T89" s="1306">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6">
        <f>(L$15+1-$J$15)*$O$2+25</f>
        <v>145.48979591836735</v>
      </c>
      <c r="S90" s="1306">
        <f>(I90+1-$J$15)*$O$2+$E$15+$E$17+D90*$O$3</f>
        <v>508.9265306122449</v>
      </c>
      <c r="T90" s="1306">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6">
        <f>(J$15+1-$J$15)*$O$2+25</f>
        <v>65.16326530612244</v>
      </c>
      <c r="S91" s="1306">
        <f>(J$15+L$15+1-$J$15)*$O$2+$E$13+D91*$O$3</f>
        <v>181.55510204081631</v>
      </c>
      <c r="T91" s="1306">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6">
        <f>(K$15+1-$J$15)*$O$2+25</f>
        <v>105.32653061224489</v>
      </c>
      <c r="S92" s="1306">
        <f>(K$15+L$15+1-$J$15)*$O$2+$E$14+D92*$O$3</f>
        <v>216.71836734693878</v>
      </c>
      <c r="T92" s="1306">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6">
        <f>(L$15+1-$J$15)*$O$2+25</f>
        <v>145.48979591836735</v>
      </c>
      <c r="S93" s="1306">
        <f>(L$15+L$15+1-$J$15)*$O$2+$E$15+D93*$O$3</f>
        <v>251.88163265306122</v>
      </c>
      <c r="T93" s="1306">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6">
        <f>(M$15+1-$J$15)*$O$2+25</f>
        <v>185.65306122448979</v>
      </c>
      <c r="S94" s="1306">
        <f>(M$15+L$15+1-$J$15)*$O$2+$E$16+D94*$O$3</f>
        <v>287.04489795918369</v>
      </c>
      <c r="T94" s="1306">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6">
        <f>(N$15+1-$J$15)*$O$2+25</f>
        <v>225.81632653061223</v>
      </c>
      <c r="S95" s="1306">
        <f>(N$15+L$15+1-$J$15)*$O$2+$E$17+D95*$O$3</f>
        <v>322.2081632653061</v>
      </c>
      <c r="T95" s="1306">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6">
        <f>(J$15+1-$J$15)*$O$2+25</f>
        <v>65.16326530612244</v>
      </c>
      <c r="S96" s="1306">
        <f>(J$15+M$15+1-$J$15)*$O$2+$E$13+D96*$O$3</f>
        <v>221.71836734693878</v>
      </c>
      <c r="T96" s="1306">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6">
        <f>(K$15+1-$J$15)*$O$2+25</f>
        <v>105.32653061224489</v>
      </c>
      <c r="S97" s="1306">
        <f>(K$15+M$15+1-$J$15)*$O$2+$E$14+D97*$O$3</f>
        <v>256.88163265306122</v>
      </c>
      <c r="T97" s="1306">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6">
        <f>(L$15+1-$J$15)*$O$2+25</f>
        <v>145.48979591836735</v>
      </c>
      <c r="S98" s="1306">
        <f>(L$15+M$15+1-$J$15)*$O$2+$E$15+D98*$O$3</f>
        <v>292.04489795918369</v>
      </c>
      <c r="T98" s="1306">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6">
        <f>(M$15+1-$J$15)*$O$2+25</f>
        <v>185.65306122448979</v>
      </c>
      <c r="S99" s="1306">
        <f>(M$15+M$15+1-$J$15)*$O$2+$E$16+D99*$O$3</f>
        <v>327.2081632653061</v>
      </c>
      <c r="T99" s="1306">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6">
        <f>(N$15+1-$J$15)*$O$2+25</f>
        <v>225.81632653061223</v>
      </c>
      <c r="S100" s="1306">
        <f>(N$15+M$15+1-$J$15)*$O$2+$E$17+D100*$O$3</f>
        <v>362.37142857142857</v>
      </c>
      <c r="T100" s="1306">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6">
        <f>(J$15+1-$J$15)*$O$2+25</f>
        <v>65.16326530612244</v>
      </c>
      <c r="S101" s="1306">
        <f>(J$15+N$15+1-$J$15)*$O$2+$E$13+D101*$O$3</f>
        <v>261.88163265306122</v>
      </c>
      <c r="T101" s="1306">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6">
        <f>(K$15+1-$J$15)*$O$2+25</f>
        <v>105.32653061224489</v>
      </c>
      <c r="S102" s="1306">
        <f>(K$15+N$15+1-$J$15)*$O$2+$E$14+D102*$O$3</f>
        <v>297.04489795918369</v>
      </c>
      <c r="T102" s="1306">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6">
        <f>(L$15+1-$J$15)*$O$2+25</f>
        <v>145.48979591836735</v>
      </c>
      <c r="S103" s="1306">
        <f>(L$15+N$15+1-$J$15)*$O$2+$E$15+D103*$O$3</f>
        <v>332.2081632653061</v>
      </c>
      <c r="T103" s="1306">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6">
        <f>(M$15+1-$J$15)*$O$2+25</f>
        <v>185.65306122448979</v>
      </c>
      <c r="S104" s="1306">
        <f>(M$15+N$15+1-$J$15)*$O$2+$E$16+D104*$O$3</f>
        <v>367.37142857142857</v>
      </c>
      <c r="T104" s="1306">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6">
        <f>(N$15+1-$J$15)*$O$2+25</f>
        <v>225.81632653061223</v>
      </c>
      <c r="S105" s="1306">
        <f>(N$15+N$15+1-$J$15)*$O$2+$E$17+D105*$O$3</f>
        <v>402.53469387755104</v>
      </c>
      <c r="T105" s="1306">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6">
        <f>(J$15+1-$J$15)*$O$2+25</f>
        <v>65.16326530612244</v>
      </c>
      <c r="S106" s="1306">
        <f>(J$15+L$15+1-$J$15)*$O$2+$E$13+D106*$O$3</f>
        <v>181.55510204081631</v>
      </c>
      <c r="T106" s="1306">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6">
        <f>(K$15+1-$J$15)*$O$2+25</f>
        <v>105.32653061224489</v>
      </c>
      <c r="S107" s="1306">
        <f>(K$15+L$15+1-$J$15)*$O$2+$E$14+D107*$O$3</f>
        <v>216.71836734693878</v>
      </c>
      <c r="T107" s="1306">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6">
        <f>(L$15+1-$J$15)*$O$2+25</f>
        <v>145.48979591836735</v>
      </c>
      <c r="S108" s="1306">
        <f>(L$15+L$15+1-$J$15)*$O$2+$E$15+D108*$O$3</f>
        <v>251.88163265306122</v>
      </c>
      <c r="T108" s="1306">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6">
        <f>(M$15+1-$J$15)*$O$2+25</f>
        <v>185.65306122448979</v>
      </c>
      <c r="S109" s="1306">
        <f>(M$15+L$15+1-$J$15)*$O$2+$E$16+D109*$O$3</f>
        <v>287.04489795918369</v>
      </c>
      <c r="T109" s="1306">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6">
        <f>(N$15+1-$J$15)*$O$2+25</f>
        <v>225.81632653061223</v>
      </c>
      <c r="S110" s="1306">
        <f>(N$15+L$15+1-$J$15)*$O$2+$E$17+D110*$O$3</f>
        <v>322.2081632653061</v>
      </c>
      <c r="T110" s="1306">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6">
        <f>(J$15+1-$J$15)*$O$2+25</f>
        <v>65.16326530612244</v>
      </c>
      <c r="S111" s="1306">
        <f>(J$15+M$15+1-$J$15)*$O$2+$E$13+D111*$O$3</f>
        <v>221.71836734693878</v>
      </c>
      <c r="T111" s="1306">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6">
        <f>(K$15+1-$J$15)*$O$2+25</f>
        <v>105.32653061224489</v>
      </c>
      <c r="S112" s="1306">
        <f>(K$15+M$15+1-$J$15)*$O$2+$E$14+D112*$O$3</f>
        <v>256.88163265306122</v>
      </c>
      <c r="T112" s="1306">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6">
        <f>(L$15+1-$J$15)*$O$2+25</f>
        <v>145.48979591836735</v>
      </c>
      <c r="S113" s="1306">
        <f>(L$15+M$15+1-$J$15)*$O$2+$E$15+D113*$O$3</f>
        <v>292.04489795918369</v>
      </c>
      <c r="T113" s="1306">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6">
        <f>(M$15+1-$J$15)*$O$2+25</f>
        <v>185.65306122448979</v>
      </c>
      <c r="S114" s="1306">
        <f>(M$15+M$15+1-$J$15)*$O$2+$E$16+D114*$O$3</f>
        <v>327.2081632653061</v>
      </c>
      <c r="T114" s="1306">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6">
        <f>(N$15+1-$J$15)*$O$2+25</f>
        <v>225.81632653061223</v>
      </c>
      <c r="S115" s="1306">
        <f>(N$15+M$15+1-$J$15)*$O$2+$E$17+D115*$O$3</f>
        <v>362.37142857142857</v>
      </c>
      <c r="T115" s="1306">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6">
        <f>(J$15+1-$J$15)*$O$2+25</f>
        <v>65.16326530612244</v>
      </c>
      <c r="S116" s="1306">
        <f>(J$15+N$15+1-$J$15)*$O$2+$E$13+D116*$O$3</f>
        <v>261.88163265306122</v>
      </c>
      <c r="T116" s="1306">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6">
        <f>(K$15+1-$J$15)*$O$2+25</f>
        <v>105.32653061224489</v>
      </c>
      <c r="S117" s="1306">
        <f>(K$15+N$15+1-$J$15)*$O$2+$E$14+D117*$O$3</f>
        <v>297.04489795918369</v>
      </c>
      <c r="T117" s="1306">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6">
        <f>(L$15+1-$J$15)*$O$2+25</f>
        <v>145.48979591836735</v>
      </c>
      <c r="S118" s="1306">
        <f>(L$15+N$15+1-$J$15)*$O$2+$E$15+D118*$O$3</f>
        <v>332.2081632653061</v>
      </c>
      <c r="T118" s="1306">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6">
        <f>(M$15+1-$J$15)*$O$2+25</f>
        <v>185.65306122448979</v>
      </c>
      <c r="S119" s="1306">
        <f>(M$15+N$15+1-$J$15)*$O$2+$E$16+D119*$O$3</f>
        <v>367.37142857142857</v>
      </c>
      <c r="T119" s="1306">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6">
        <f>(N$15+1-$J$15)*$O$2+25</f>
        <v>225.81632653061223</v>
      </c>
      <c r="S120" s="1306">
        <f>(N$15+N$15+1-$J$15)*$O$2+$E$17+D120*$O$3</f>
        <v>402.53469387755104</v>
      </c>
      <c r="T120" s="1306">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6">
        <f>(J$15+1-$J$15)*$O$2+25</f>
        <v>65.16326530612244</v>
      </c>
      <c r="S121" s="1306">
        <f>(J$15+L$15+1-$J$15)*$O$2+$E$13+D121*$O$3</f>
        <v>181.55510204081631</v>
      </c>
      <c r="T121" s="1306">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6">
        <f>(K$15+1-$J$15)*$O$2+25</f>
        <v>105.32653061224489</v>
      </c>
      <c r="S122" s="1306">
        <f>(K$15+L$15+1-$J$15)*$O$2+$E$14+D122*$O$3</f>
        <v>216.71836734693878</v>
      </c>
      <c r="T122" s="1306">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6">
        <f>(L$15+1-$J$15)*$O$2+25</f>
        <v>145.48979591836735</v>
      </c>
      <c r="S123" s="1306">
        <f>(L$15+L$15+1-$J$15)*$O$2+$E$15+D123*$O$3</f>
        <v>251.88163265306122</v>
      </c>
      <c r="T123" s="1306">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6">
        <f>(M$15+1-$J$15)*$O$2+25</f>
        <v>185.65306122448979</v>
      </c>
      <c r="S124" s="1306">
        <f>(M$15+L$15+1-$J$15)*$O$2+$E$16+D124*$O$3</f>
        <v>287.04489795918369</v>
      </c>
      <c r="T124" s="1306">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6">
        <f>(N$15+1-$J$15)*$O$2+25</f>
        <v>225.81632653061223</v>
      </c>
      <c r="S125" s="1306">
        <f>(N$15+L$15+1-$J$15)*$O$2+$E$17+D125*$O$3</f>
        <v>322.2081632653061</v>
      </c>
      <c r="T125" s="1306">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6">
        <f>(J$15+1-$J$15)*$O$2+25</f>
        <v>65.16326530612244</v>
      </c>
      <c r="S126" s="1306">
        <f>(J$15+M$15+1-$J$15)*$O$2+$E$13+D126*$O$3</f>
        <v>221.71836734693878</v>
      </c>
      <c r="T126" s="1306">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6">
        <f>(K$15+1-$J$15)*$O$2+25</f>
        <v>105.32653061224489</v>
      </c>
      <c r="S127" s="1306">
        <f>(K$15+M$15+1-$J$15)*$O$2+$E$14+D127*$O$3</f>
        <v>256.88163265306122</v>
      </c>
      <c r="T127" s="1306">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6">
        <f>(L$15+1-$J$15)*$O$2+25</f>
        <v>145.48979591836735</v>
      </c>
      <c r="S128" s="1306">
        <f>(L$15+M$15+1-$J$15)*$O$2+$E$15+D128*$O$3</f>
        <v>292.04489795918369</v>
      </c>
      <c r="T128" s="1306">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6">
        <f>(M$15+1-$J$15)*$O$2+25</f>
        <v>185.65306122448979</v>
      </c>
      <c r="S129" s="1306">
        <f>(M$15+M$15+1-$J$15)*$O$2+$E$16+D129*$O$3</f>
        <v>327.2081632653061</v>
      </c>
      <c r="T129" s="1306">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6">
        <f>(N$15+1-$J$15)*$O$2+25</f>
        <v>225.81632653061223</v>
      </c>
      <c r="S130" s="1306">
        <f>(N$15+M$15+1-$J$15)*$O$2+$E$17+D130*$O$3</f>
        <v>362.37142857142857</v>
      </c>
      <c r="T130" s="1306">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6">
        <f>(J$15+1-$J$15)*$O$2+25</f>
        <v>65.16326530612244</v>
      </c>
      <c r="S131" s="1306">
        <f>(J$15+N$15+1-$J$15)*$O$2+$E$13+D131*$O$3</f>
        <v>261.88163265306122</v>
      </c>
      <c r="T131" s="1306">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6">
        <f>(K$15+1-$J$15)*$O$2+25</f>
        <v>105.32653061224489</v>
      </c>
      <c r="S132" s="1306">
        <f>(K$15+N$15+1-$J$15)*$O$2+$E$14+D132*$O$3</f>
        <v>297.04489795918369</v>
      </c>
      <c r="T132" s="1306">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6">
        <f>(L$15+1-$J$15)*$O$2+25</f>
        <v>145.48979591836735</v>
      </c>
      <c r="S133" s="1306">
        <f>(L$15+N$15+1-$J$15)*$O$2+$E$15+D133*$O$3</f>
        <v>332.2081632653061</v>
      </c>
      <c r="T133" s="1306">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6">
        <f>(M$15+1-$J$15)*$O$2+25</f>
        <v>185.65306122448979</v>
      </c>
      <c r="S134" s="1306">
        <f>(M$15+N$15+1-$J$15)*$O$2+$E$16+D134*$O$3</f>
        <v>367.37142857142857</v>
      </c>
      <c r="T134" s="1306">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6">
        <f>(N$15+1-$J$15)*$O$2+25</f>
        <v>225.81632653061223</v>
      </c>
      <c r="S135" s="1306">
        <f>(N$15+N$15+1-$J$15)*$O$2+$E$17+D135*$O$3</f>
        <v>402.53469387755104</v>
      </c>
      <c r="T135" s="1306">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6">
        <f>(J$15+N$15+1-$J$15)*$O$2+$E$45+25</f>
        <v>241.88163265306122</v>
      </c>
      <c r="S136" s="1306">
        <f>(L$15+J$15+N$15+1-$J$15)*$O$2+$E$45+$E$13+$O$3</f>
        <v>358.27346938775503</v>
      </c>
      <c r="T136" s="1306">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6">
        <f>(K$15+N$15+1-$J$15)*$O$2+$E$45+25</f>
        <v>282.04489795918369</v>
      </c>
      <c r="S137" s="1306">
        <f>(L$15+K$15+N$15+1-$J$15)*$O$2+$E$45+$E$14+$O$3</f>
        <v>393.4367346938775</v>
      </c>
      <c r="T137" s="1306">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6">
        <f>(L$15+N$15+1-$J$15)*$O$2+$E$45+25</f>
        <v>322.2081632653061</v>
      </c>
      <c r="S138" s="1306">
        <f>(L$15+L$15+N$15+1-$J$15)*$O$2+$E$45+$E$15+$O$3</f>
        <v>428.59999999999997</v>
      </c>
      <c r="T138" s="1306">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6">
        <f>(M$15+N$15+1-$J$15)*$O$2+$E$45+25</f>
        <v>362.37142857142857</v>
      </c>
      <c r="S139" s="1306">
        <f>(L$15+M$15+N$15+1-$J$15)*$O$2+$E$45+$E$16+$O$3</f>
        <v>463.76326530612238</v>
      </c>
      <c r="T139" s="1306">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6">
        <f>(N$15+N$15+1-$J$15)*$O$2+$E$45+25</f>
        <v>402.53469387755104</v>
      </c>
      <c r="S140" s="1306">
        <f>(L$15+N$15+N$15+1-$J$15)*$O$2+$E$45+$E$17+$O$3</f>
        <v>498.9265306122449</v>
      </c>
      <c r="T140" s="1306">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6">
        <f>(J$15+N$15+1-$J$15)*$O$2+$E$45+25</f>
        <v>241.88163265306122</v>
      </c>
      <c r="S141" s="1306">
        <f>(M$15+J$15+N$15+1-$J$15)*$O$2+$E$45+$E$13+$O$3</f>
        <v>398.4367346938775</v>
      </c>
      <c r="T141" s="1306">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6">
        <f>(K$15+N$15+1-$J$15)*$O$2+$E$45+25</f>
        <v>282.04489795918369</v>
      </c>
      <c r="S142" s="1306">
        <f>(M$15+K$15+N$15+1-$J$15)*$O$2+$E$45+$E$14+$O$3</f>
        <v>433.59999999999997</v>
      </c>
      <c r="T142" s="1306">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6">
        <f>(L$15+N$15+1-$J$15)*$O$2+$E$45+25</f>
        <v>322.2081632653061</v>
      </c>
      <c r="S143" s="1306">
        <f>(M$15+L$15+N$15+1-$J$15)*$O$2+$E$45+$E$15+$O$3</f>
        <v>468.76326530612238</v>
      </c>
      <c r="T143" s="1306">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6">
        <f>(M$15+N$15+1-$J$15)*$O$2+$E$45+25</f>
        <v>362.37142857142857</v>
      </c>
      <c r="S144" s="1306">
        <f>(M$15+M$15+N$15+1-$J$15)*$O$2+$E$45+$E$16+$O$3</f>
        <v>503.92653061224485</v>
      </c>
      <c r="T144" s="1306">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6">
        <f>(N$15+N$15+1-$J$15)*$O$2+$E$45+25</f>
        <v>402.53469387755104</v>
      </c>
      <c r="S145" s="1306">
        <f>(M$15+N$15+N$15+1-$J$15)*$O$2+$E$45+$E$17+$O$3</f>
        <v>539.08979591836737</v>
      </c>
      <c r="T145" s="1306">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6">
        <f>(J$15+N$15+1-$J$15)*$O$2+$E$45+25</f>
        <v>241.88163265306122</v>
      </c>
      <c r="S146" s="1306">
        <f>(N$15+J$15+N$15+1-$J$15)*$O$2+$E$45+$E$13+$O$3</f>
        <v>438.6</v>
      </c>
      <c r="T146" s="1306">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6">
        <f>(K$15+N$15+1-$J$15)*$O$2+$E$45+25</f>
        <v>282.04489795918369</v>
      </c>
      <c r="S147" s="1306">
        <f>(N$15+K$15+N$15+1-$J$15)*$O$2+$E$45+$E$14+$O$3</f>
        <v>473.76326530612243</v>
      </c>
      <c r="T147" s="1306">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6">
        <f>(L$15+N$15+1-$J$15)*$O$2+$E$45+25</f>
        <v>322.2081632653061</v>
      </c>
      <c r="S148" s="1306">
        <f>(N$15+L$15+N$15+1-$J$15)*$O$2+$E$45+$E$15+$O$3</f>
        <v>508.9265306122449</v>
      </c>
      <c r="T148" s="1306">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6">
        <f>(M$15+N$15+1-$J$15)*$O$2+$E$45+25</f>
        <v>362.37142857142857</v>
      </c>
      <c r="S149" s="1306">
        <f>(N$15+M$15+N$15+1-$J$15)*$O$2+$E$45+$E$16+$O$3</f>
        <v>544.08979591836737</v>
      </c>
      <c r="T149" s="1306">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6">
        <f>(N$15+N$15+1-$J$15)*$O$2+$E$45+25</f>
        <v>402.53469387755104</v>
      </c>
      <c r="S150" s="1306">
        <f>(N$15+N$15+N$15+1-$J$15)*$O$2+$E$45+$E$17+$O$3</f>
        <v>579.25306122448978</v>
      </c>
      <c r="T150" s="1306">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07"/>
      <c r="S151" s="1307"/>
      <c r="T151" s="1307"/>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6"/>
      <c r="S152" s="1306"/>
      <c r="T152" s="1306"/>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6"/>
      <c r="S153" s="1306"/>
      <c r="T153" s="1306"/>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6"/>
      <c r="S154" s="1306"/>
      <c r="T154" s="1306"/>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6"/>
      <c r="S155" s="1306"/>
      <c r="T155" s="1306"/>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6"/>
      <c r="S156" s="1306"/>
      <c r="T156" s="1306"/>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6"/>
      <c r="S157" s="1306"/>
      <c r="T157" s="1306"/>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6"/>
      <c r="S158" s="1306"/>
      <c r="T158" s="1306"/>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6"/>
      <c r="S159" s="1306"/>
      <c r="T159" s="1306"/>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6"/>
      <c r="S160" s="1306"/>
      <c r="T160" s="1306"/>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6"/>
      <c r="S161" s="1306"/>
      <c r="T161" s="1306"/>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6"/>
      <c r="S162" s="1306"/>
      <c r="T162" s="1306"/>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6"/>
      <c r="S163" s="1306"/>
      <c r="T163" s="1306"/>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6"/>
      <c r="S164" s="1306"/>
      <c r="T164" s="1306"/>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6"/>
      <c r="S165" s="1306"/>
      <c r="T165" s="1306"/>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6"/>
      <c r="S166" s="1306"/>
      <c r="T166" s="1306"/>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6"/>
      <c r="S167" s="1306"/>
      <c r="T167" s="1306"/>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6"/>
      <c r="S168" s="1306"/>
      <c r="T168" s="1306"/>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6"/>
      <c r="S169" s="1306"/>
      <c r="T169" s="1306"/>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6"/>
      <c r="S170" s="1306"/>
      <c r="T170" s="1306"/>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6"/>
      <c r="S171" s="1306"/>
      <c r="T171" s="1306"/>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6"/>
      <c r="S172" s="1306"/>
      <c r="T172" s="1306"/>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6"/>
      <c r="S173" s="1306"/>
      <c r="T173" s="1306"/>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6"/>
      <c r="S174" s="1306"/>
      <c r="T174" s="1306"/>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6"/>
      <c r="S175" s="1306"/>
      <c r="T175" s="1306"/>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6"/>
      <c r="S176" s="1306"/>
      <c r="T176" s="1306"/>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6"/>
      <c r="S177" s="1306"/>
      <c r="T177" s="1306"/>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6"/>
      <c r="S178" s="1306"/>
      <c r="T178" s="1306"/>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6"/>
      <c r="S179" s="1306"/>
      <c r="T179" s="1306"/>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6"/>
      <c r="S180" s="1306"/>
      <c r="T180" s="1306"/>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6"/>
      <c r="S181" s="1306"/>
      <c r="T181" s="1306"/>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6"/>
      <c r="S182" s="1306"/>
      <c r="T182" s="1306"/>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6"/>
      <c r="S183" s="1306"/>
      <c r="T183" s="1306"/>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6"/>
      <c r="S184" s="1306"/>
      <c r="T184" s="1306"/>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6"/>
      <c r="S185" s="1306"/>
      <c r="T185" s="1306"/>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6"/>
      <c r="S186" s="1306"/>
      <c r="T186" s="1306"/>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6"/>
      <c r="S187" s="1306"/>
      <c r="T187" s="1306"/>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6"/>
      <c r="S188" s="1306"/>
      <c r="T188" s="1306"/>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6"/>
      <c r="S189" s="1306"/>
      <c r="T189" s="1306"/>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6"/>
      <c r="S190" s="1306"/>
      <c r="T190" s="1306"/>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6"/>
      <c r="S191" s="1306"/>
      <c r="T191" s="1306"/>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6"/>
      <c r="S192" s="1306"/>
      <c r="T192" s="1306"/>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6"/>
      <c r="S193" s="1306"/>
      <c r="T193" s="1306"/>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6"/>
      <c r="S194" s="1306"/>
      <c r="T194" s="1306"/>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6"/>
      <c r="S195" s="1306"/>
      <c r="T195" s="1306"/>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6"/>
      <c r="S196" s="1306"/>
      <c r="T196" s="1306"/>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07"/>
      <c r="S197" s="1307"/>
      <c r="T197" s="1307"/>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6"/>
      <c r="S198" s="1306"/>
      <c r="T198" s="1306"/>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6"/>
      <c r="S199" s="1306"/>
      <c r="T199" s="1306"/>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6"/>
      <c r="S200" s="1306"/>
      <c r="T200" s="1306"/>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6"/>
      <c r="S201" s="1306"/>
      <c r="T201" s="1306"/>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6"/>
      <c r="S202" s="1306"/>
      <c r="T202" s="1306"/>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6"/>
      <c r="S203" s="1306"/>
      <c r="T203" s="1306"/>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6"/>
      <c r="S204" s="1306"/>
      <c r="T204" s="1306"/>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6"/>
      <c r="S205" s="1306"/>
      <c r="T205" s="1306"/>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6"/>
      <c r="S206" s="1306"/>
      <c r="T206" s="1306"/>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6"/>
      <c r="S207" s="1306"/>
      <c r="T207" s="1306"/>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6"/>
      <c r="S208" s="1306"/>
      <c r="T208" s="1306"/>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6"/>
      <c r="S209" s="1306"/>
      <c r="T209" s="1306"/>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6"/>
      <c r="S210" s="1306"/>
      <c r="T210" s="1306"/>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6"/>
      <c r="S211" s="1306"/>
      <c r="T211" s="1306"/>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6"/>
      <c r="S212" s="1306"/>
      <c r="T212" s="1306"/>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6"/>
      <c r="S213" s="1306"/>
      <c r="T213" s="1306"/>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6"/>
      <c r="S214" s="1306"/>
      <c r="T214" s="1306"/>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6"/>
      <c r="S215" s="1306"/>
      <c r="T215" s="1306"/>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6"/>
      <c r="S216" s="1306"/>
      <c r="T216" s="1306"/>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6"/>
      <c r="S217" s="1306"/>
      <c r="T217" s="1306"/>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6"/>
      <c r="S218" s="1306"/>
      <c r="T218" s="1306"/>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6"/>
      <c r="S219" s="1306"/>
      <c r="T219" s="1306"/>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6"/>
      <c r="S220" s="1306"/>
      <c r="T220" s="1306"/>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6"/>
      <c r="S221" s="1306"/>
      <c r="T221" s="1306"/>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6"/>
      <c r="S222" s="1306"/>
      <c r="T222" s="1306"/>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6"/>
      <c r="S223" s="1306"/>
      <c r="T223" s="1306"/>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6"/>
      <c r="S224" s="1306"/>
      <c r="T224" s="1306"/>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6"/>
      <c r="S225" s="1306"/>
      <c r="T225" s="1306"/>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6"/>
      <c r="S226" s="1306"/>
      <c r="T226" s="1306"/>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6"/>
      <c r="S227" s="1306"/>
      <c r="T227" s="1306"/>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6"/>
      <c r="S228" s="1306"/>
      <c r="T228" s="1306"/>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6"/>
      <c r="S229" s="1306"/>
      <c r="T229" s="1306"/>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6"/>
      <c r="S230" s="1306"/>
      <c r="T230" s="1306"/>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6"/>
      <c r="S231" s="1306"/>
      <c r="T231" s="1306"/>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6"/>
      <c r="S232" s="1306"/>
      <c r="T232" s="1306"/>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07"/>
      <c r="S233" s="1307"/>
      <c r="T233" s="1307"/>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6">
        <f>(J$15+1-$J$15)*$O$2+25</f>
        <v>65.16326530612244</v>
      </c>
      <c r="S234" s="1306">
        <v>0</v>
      </c>
      <c r="T234" s="1306">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6">
        <f>(K$15+1-$J$15)*$O$2+25</f>
        <v>105.32653061224489</v>
      </c>
      <c r="S235" s="1306">
        <v>0</v>
      </c>
      <c r="T235" s="1306">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6">
        <f>(L$15+1-$J$15)*$O$2+25</f>
        <v>145.48979591836735</v>
      </c>
      <c r="S236" s="1306">
        <v>0</v>
      </c>
      <c r="T236" s="1306">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6">
        <f>(M$15+1-$J$15)*$O$2+25</f>
        <v>185.65306122448979</v>
      </c>
      <c r="S237" s="1306">
        <v>0</v>
      </c>
      <c r="T237" s="1306">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6">
        <f>(N$15+1-$J$15)*$O$2+25</f>
        <v>225.81632653061223</v>
      </c>
      <c r="S238" s="1306">
        <v>0</v>
      </c>
      <c r="T238" s="1306">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6">
        <v>0</v>
      </c>
      <c r="S239" s="1306">
        <v>0</v>
      </c>
      <c r="T239" s="1306">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6">
        <v>0</v>
      </c>
      <c r="S240" s="1306">
        <v>0</v>
      </c>
      <c r="T240" s="1306">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6">
        <v>0</v>
      </c>
      <c r="S241" s="1306">
        <v>0</v>
      </c>
      <c r="T241" s="1306">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6">
        <v>0</v>
      </c>
      <c r="S242" s="1306">
        <v>0</v>
      </c>
      <c r="T242" s="1306">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6">
        <v>0</v>
      </c>
      <c r="S243" s="1306">
        <v>0</v>
      </c>
      <c r="T243" s="1306">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6">
        <f>(J$15+1-$J$15)*$O$2+25</f>
        <v>65.16326530612244</v>
      </c>
      <c r="S244" s="1306">
        <v>0</v>
      </c>
      <c r="T244" s="1306">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6">
        <f>(K$15+1-$J$15)*$O$2+25</f>
        <v>105.32653061224489</v>
      </c>
      <c r="S245" s="1306">
        <v>0</v>
      </c>
      <c r="T245" s="1306">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6">
        <f>(L$15+1-$J$15)*$O$2+25</f>
        <v>145.48979591836735</v>
      </c>
      <c r="S246" s="1306">
        <v>0</v>
      </c>
      <c r="T246" s="1306">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6">
        <f>(M$15+1-$J$15)*$O$2+25</f>
        <v>185.65306122448979</v>
      </c>
      <c r="S247" s="1306">
        <v>0</v>
      </c>
      <c r="T247" s="1306">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6">
        <f>(N$15+1-$J$15)*$O$2+25</f>
        <v>225.81632653061223</v>
      </c>
      <c r="S248" s="1306">
        <v>0</v>
      </c>
      <c r="T248" s="1306">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6">
        <f>(J$15+1-$J$15)*$O$2+25</f>
        <v>65.16326530612244</v>
      </c>
      <c r="S249" s="1306">
        <v>0</v>
      </c>
      <c r="T249" s="1306">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6">
        <f>(K$15+1-$J$15)*$O$2+25</f>
        <v>105.32653061224489</v>
      </c>
      <c r="S250" s="1306">
        <v>0</v>
      </c>
      <c r="T250" s="1306">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6">
        <f>(L$15+1-$J$15)*$O$2+25</f>
        <v>145.48979591836735</v>
      </c>
      <c r="S251" s="1306">
        <v>0</v>
      </c>
      <c r="T251" s="1306">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6">
        <f>(M$15+1-$J$15)*$O$2+25</f>
        <v>185.65306122448979</v>
      </c>
      <c r="S252" s="1306">
        <v>0</v>
      </c>
      <c r="T252" s="1306">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6">
        <f>(N$15+1-$J$15)*$O$2+25</f>
        <v>225.81632653061223</v>
      </c>
      <c r="S253" s="1306">
        <v>0</v>
      </c>
      <c r="T253" s="1306">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6">
        <f>(J$15+1-$J$15)*$O$2+25</f>
        <v>65.16326530612244</v>
      </c>
      <c r="S254" s="1306">
        <v>0</v>
      </c>
      <c r="T254" s="1306">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6">
        <f>(K$15+1-$J$15)*$O$2+25</f>
        <v>105.32653061224489</v>
      </c>
      <c r="S255" s="1306">
        <v>0</v>
      </c>
      <c r="T255" s="1306">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6">
        <f>(L$15+1-$J$15)*$O$2+25</f>
        <v>145.48979591836735</v>
      </c>
      <c r="S256" s="1306">
        <v>0</v>
      </c>
      <c r="T256" s="1306">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6">
        <f>(M$15+1-$J$15)*$O$2+25</f>
        <v>185.65306122448979</v>
      </c>
      <c r="S257" s="1306">
        <v>0</v>
      </c>
      <c r="T257" s="1306">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6">
        <f>(N$15+1-$J$15)*$O$2+25</f>
        <v>225.81632653061223</v>
      </c>
      <c r="S258" s="1306">
        <v>0</v>
      </c>
      <c r="T258" s="1306">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6">
        <f>(J$15+1-$J$15)*$O$2+25</f>
        <v>65.16326530612244</v>
      </c>
      <c r="S259" s="1306">
        <v>0</v>
      </c>
      <c r="T259" s="1306">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6">
        <f>(K$15+1-$J$15)*$O$2+25</f>
        <v>105.32653061224489</v>
      </c>
      <c r="S260" s="1306">
        <v>0</v>
      </c>
      <c r="T260" s="1306">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6">
        <f>(J$15+1-$J$15)*$O$2+25</f>
        <v>65.16326530612244</v>
      </c>
      <c r="S261" s="1306">
        <v>0</v>
      </c>
      <c r="T261" s="1306">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6">
        <f>(K$15+1-$J$15)*$O$2+25</f>
        <v>105.32653061224489</v>
      </c>
      <c r="S262" s="1306">
        <v>0</v>
      </c>
      <c r="T262" s="1306">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6">
        <f>(J$15+1-$J$15)*$O$2+25</f>
        <v>65.16326530612244</v>
      </c>
      <c r="S263" s="1306">
        <v>0</v>
      </c>
      <c r="T263" s="1306">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6">
        <f>(K$15+1-$J$15)*$O$2+25</f>
        <v>105.32653061224489</v>
      </c>
      <c r="S264" s="1306">
        <v>0</v>
      </c>
      <c r="T264" s="1306">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6">
        <f>(J$15+1-$J$15)*$O$2+25</f>
        <v>65.16326530612244</v>
      </c>
      <c r="S265" s="1306">
        <v>0</v>
      </c>
      <c r="T265" s="1306">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6">
        <f>(K$15+1-$J$15)*$O$2+25</f>
        <v>105.32653061224489</v>
      </c>
      <c r="S266" s="1306">
        <v>0</v>
      </c>
      <c r="T266" s="1306">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6">
        <f>(L$15+1-$J$15)*$O$2+25</f>
        <v>145.48979591836735</v>
      </c>
      <c r="S267" s="1306">
        <v>0</v>
      </c>
      <c r="T267" s="1306">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6">
        <f>(J$15+1-$J$15)*$O$2+25</f>
        <v>65.16326530612244</v>
      </c>
      <c r="S268" s="1306">
        <v>0</v>
      </c>
      <c r="T268" s="1306">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6">
        <f>(K$15+1-$J$15)*$O$2+25</f>
        <v>105.32653061224489</v>
      </c>
      <c r="S269" s="1306">
        <v>0</v>
      </c>
      <c r="T269" s="1306">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6">
        <f>(L$15+1-$J$15)*$O$2+25</f>
        <v>145.48979591836735</v>
      </c>
      <c r="S270" s="1306">
        <v>0</v>
      </c>
      <c r="T270" s="1306">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6">
        <f>(J$15+1-$J$15)*$O$2+25</f>
        <v>65.16326530612244</v>
      </c>
      <c r="S271" s="1306">
        <v>0</v>
      </c>
      <c r="T271" s="1306">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6">
        <f>(K$15+1-$J$15)*$O$2+25</f>
        <v>105.32653061224489</v>
      </c>
      <c r="S272" s="1306">
        <v>0</v>
      </c>
      <c r="T272" s="1306">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6">
        <f>(L$15+1-$J$15)*$O$2+25</f>
        <v>145.48979591836735</v>
      </c>
      <c r="S273" s="1306">
        <v>0</v>
      </c>
      <c r="T273" s="1306">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6">
        <v>0</v>
      </c>
      <c r="S274" s="1306">
        <v>0</v>
      </c>
      <c r="T274" s="1306">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6">
        <f>(J$15+N$15+1-$J$15)*$O$2+$E$45+25</f>
        <v>241.88163265306122</v>
      </c>
      <c r="S275" s="1306">
        <v>0</v>
      </c>
      <c r="T275" s="1306">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6">
        <f>(K$15+N$15+1-$J$15)*$O$2+$E$45+25</f>
        <v>282.04489795918369</v>
      </c>
      <c r="S276" s="1306">
        <v>0</v>
      </c>
      <c r="T276" s="1306">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6">
        <f>(L$15+N$15+1-$J$15)*$O$2+$E$45+25</f>
        <v>322.2081632653061</v>
      </c>
      <c r="S277" s="1306">
        <v>0</v>
      </c>
      <c r="T277" s="1306">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6">
        <f>(M$15+N$15+1-$J$15)*$O$2+$E$45+25</f>
        <v>362.37142857142857</v>
      </c>
      <c r="S278" s="1306">
        <v>0</v>
      </c>
      <c r="T278" s="1306">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6">
        <f>(N$15+N$15+1-$J$15)*$O$2+$E$45+25</f>
        <v>402.53469387755104</v>
      </c>
      <c r="S279" s="1306">
        <v>0</v>
      </c>
      <c r="T279" s="1306">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6">
        <f>(J$15+N$15+1-$J$15)*$O$2+$E$45+25</f>
        <v>241.88163265306122</v>
      </c>
      <c r="S280" s="1306">
        <v>0</v>
      </c>
      <c r="T280" s="1306">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6">
        <f>(K$15+N$15+1-$J$15)*$O$2+$E$45+25</f>
        <v>282.04489795918369</v>
      </c>
      <c r="S281" s="1306">
        <v>0</v>
      </c>
      <c r="T281" s="1306">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6">
        <f>(J$15+N$15+1-$J$15)*$O$2+$E$45+25</f>
        <v>241.88163265306122</v>
      </c>
      <c r="S282" s="1306">
        <v>0</v>
      </c>
      <c r="T282" s="1306">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6">
        <f>(K$15+N$15+1-$J$15)*$O$2+$E$45+25</f>
        <v>282.04489795918369</v>
      </c>
      <c r="S283" s="1306">
        <v>0</v>
      </c>
      <c r="T283" s="1306">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6">
        <f>(L$15+N$15+1-$J$15)*$O$2+$E$45+25</f>
        <v>322.2081632653061</v>
      </c>
      <c r="S284" s="1306">
        <v>0</v>
      </c>
      <c r="T284" s="1306">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897"/>
      <c r="B285" s="897"/>
      <c r="C285" s="897"/>
      <c r="D285" s="897"/>
      <c r="E285" s="897"/>
      <c r="F285" s="897"/>
      <c r="G285" s="897"/>
      <c r="H285" s="897"/>
      <c r="I285" s="897"/>
      <c r="J285" s="897"/>
      <c r="K285" s="897"/>
      <c r="L285" s="897"/>
      <c r="M285" s="897"/>
      <c r="N285" s="897"/>
      <c r="O285" s="897"/>
      <c r="P285" s="897"/>
      <c r="Q285" s="1369"/>
      <c r="R285" s="1370"/>
      <c r="S285" s="897"/>
      <c r="T285" s="897"/>
      <c r="U285" s="897"/>
      <c r="V285" s="897"/>
      <c r="W285" s="897"/>
      <c r="X285" s="897"/>
      <c r="Y285" s="897"/>
      <c r="Z285" s="897"/>
      <c r="AA285" s="897"/>
      <c r="AB285" s="897"/>
      <c r="AC285" s="897"/>
      <c r="AD285" s="897"/>
      <c r="AE285" s="897"/>
      <c r="AF285" s="897"/>
      <c r="AG285" s="897"/>
      <c r="AH285" s="897"/>
      <c r="AI285" s="897"/>
      <c r="AJ285" s="897"/>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49" t="s">
        <v>1665</v>
      </c>
      <c r="B1" s="1149" t="s">
        <v>1659</v>
      </c>
      <c r="C1" s="1149" t="s">
        <v>3034</v>
      </c>
      <c r="D1" s="1149"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topLeftCell="A16" workbookViewId="0">
      <selection activeCell="D60" sqref="D60"/>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3" t="s">
        <v>1660</v>
      </c>
      <c r="B1" s="584" t="s">
        <v>877</v>
      </c>
      <c r="C1" s="584" t="s">
        <v>531</v>
      </c>
      <c r="D1" s="584" t="s">
        <v>532</v>
      </c>
      <c r="E1" s="584" t="s">
        <v>533</v>
      </c>
      <c r="F1" s="585" t="s">
        <v>2327</v>
      </c>
      <c r="G1" s="1367"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1"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1"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1"/>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1"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1"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1"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1"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1"/>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1"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2"/>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6"/>
      <c r="B1" s="517" t="s">
        <v>1271</v>
      </c>
      <c r="C1" s="518" t="s">
        <v>741</v>
      </c>
      <c r="D1" s="519" t="s">
        <v>1572</v>
      </c>
      <c r="E1" s="519" t="s">
        <v>1573</v>
      </c>
      <c r="F1" s="517" t="s">
        <v>269</v>
      </c>
      <c r="G1" s="518" t="s">
        <v>267</v>
      </c>
      <c r="H1" s="519" t="s">
        <v>268</v>
      </c>
      <c r="I1" s="517" t="s">
        <v>1574</v>
      </c>
      <c r="J1" s="519" t="s">
        <v>1575</v>
      </c>
      <c r="L1" s="67"/>
      <c r="O1" s="67" t="s">
        <v>1576</v>
      </c>
    </row>
    <row r="2" spans="1:21">
      <c r="A2" s="520" t="s">
        <v>1577</v>
      </c>
      <c r="B2" s="521">
        <f>bMHavg+bAP/APtoDPS*bMHspd</f>
        <v>798.8839456904077</v>
      </c>
      <c r="C2" s="522">
        <f>bMHdam*bMHgfact</f>
        <v>599.16295926780572</v>
      </c>
      <c r="D2" s="523">
        <f>bMHdam*bMHcfact</f>
        <v>1645.7009281222399</v>
      </c>
      <c r="E2" s="523">
        <f>bMHdam*bMHhit+bMHgdam*bMHglan+bMHcdam*bMHcrit</f>
        <v>921.86363651132888</v>
      </c>
      <c r="F2" s="524">
        <f>1/bMHspd*bHaste</f>
        <v>0.47245947878938588</v>
      </c>
      <c r="G2" s="525">
        <f>bMHasec*bMHthit</f>
        <v>0.46280286797900771</v>
      </c>
      <c r="H2" s="526">
        <f>bMHasec*bMHcrit</f>
        <v>0.10446631487564784</v>
      </c>
      <c r="I2" s="527">
        <f>bMHadam*bMHasec*bGlobDam</f>
        <v>462.02424058486895</v>
      </c>
      <c r="J2" s="528">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4"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5">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29" t="s">
        <v>1196</v>
      </c>
      <c r="B4" s="530">
        <f>bMHdam</f>
        <v>798.8839456904077</v>
      </c>
      <c r="C4" s="531">
        <f>bMHgdam</f>
        <v>599.16295926780572</v>
      </c>
      <c r="D4" s="532">
        <f>bMHcdam</f>
        <v>1645.7009281222399</v>
      </c>
      <c r="E4" s="532">
        <f>(B2*B22*Q10+B2*B23*cfact+B2*B24)</f>
        <v>921.86363651132888</v>
      </c>
      <c r="F4" s="533">
        <f>bExAtt</f>
        <v>0.32133894904104937</v>
      </c>
      <c r="G4" s="534">
        <f>F4*bMHhit</f>
        <v>0.16659794784524692</v>
      </c>
      <c r="H4" s="535">
        <f>F4*bMHcrit</f>
        <v>7.1051798808965227E-2</v>
      </c>
      <c r="I4" s="536">
        <f>E4*F4*bGlobDam</f>
        <v>314.24151819634557</v>
      </c>
      <c r="J4" s="537">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0" t="s">
        <v>1438</v>
      </c>
      <c r="B5" s="521">
        <f>(bOHavg+bAP/APtoDPS*bOHspd)*bOHdamfac</f>
        <v>312.78967037497233</v>
      </c>
      <c r="C5" s="522">
        <f>bOHdam*bOHgfact</f>
        <v>234.59225278122926</v>
      </c>
      <c r="D5" s="523">
        <f>bOHdam*bOHcfact</f>
        <v>644.34672097244299</v>
      </c>
      <c r="E5" s="523">
        <f>bOHdam*bOHhit+bOHgdam*bOHglan+bOHcdam*bOHcrit</f>
        <v>360.94031498637253</v>
      </c>
      <c r="F5" s="524">
        <f>1/bOHspd*bHaste</f>
        <v>0.87742474632314538</v>
      </c>
      <c r="G5" s="525">
        <f>bOHasec*bOHthit</f>
        <v>0.85949104053244307</v>
      </c>
      <c r="H5" s="526">
        <f>bOHasec*bOHcrit</f>
        <v>0.19400887048334603</v>
      </c>
      <c r="I5" s="527">
        <f>bOHadam*bOHasec*bGlobDam</f>
        <v>335.95320054504873</v>
      </c>
      <c r="J5" s="528">
        <f t="shared" si="0"/>
        <v>249.20610678056366</v>
      </c>
      <c r="K5" s="109"/>
      <c r="O5" s="66" t="s">
        <v>1180</v>
      </c>
      <c r="Q5" s="68">
        <f>BaseGlanPerc</f>
        <v>0.24</v>
      </c>
      <c r="T5" s="27" t="s">
        <v>3090</v>
      </c>
      <c r="U5" s="107">
        <f>10*conv</f>
        <v>15.769230769230768</v>
      </c>
    </row>
    <row r="6" spans="1:21">
      <c r="A6" s="504"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07">
        <f t="shared" si="0"/>
        <v>74.512625927388541</v>
      </c>
      <c r="K6" s="109"/>
      <c r="L6" s="67" t="s">
        <v>1182</v>
      </c>
      <c r="O6" s="66" t="s">
        <v>1181</v>
      </c>
      <c r="Q6" s="69">
        <f>OHDamFact</f>
        <v>0.75</v>
      </c>
      <c r="T6" s="27" t="s">
        <v>3091</v>
      </c>
      <c r="U6" s="105">
        <f>12*conv</f>
        <v>18.923076923076923</v>
      </c>
    </row>
    <row r="7" spans="1:21" ht="13.5" thickBot="1">
      <c r="A7" s="538" t="s">
        <v>1199</v>
      </c>
      <c r="B7" s="530">
        <f>bOHdam</f>
        <v>312.78967037497233</v>
      </c>
      <c r="C7" s="539">
        <f>bOHgdam</f>
        <v>234.59225278122926</v>
      </c>
      <c r="D7" s="540">
        <f>bOHcdam</f>
        <v>644.34672097244299</v>
      </c>
      <c r="E7" s="540">
        <f>bOHadam</f>
        <v>360.94031498637253</v>
      </c>
      <c r="F7" s="541">
        <f>IF(itBsOH,(bOHhsec+G6)*itBsEa,0)</f>
        <v>0</v>
      </c>
      <c r="G7" s="542">
        <f>F7*bOHthit</f>
        <v>0</v>
      </c>
      <c r="H7" s="543">
        <f>F7*bOHcrit</f>
        <v>0</v>
      </c>
      <c r="I7" s="536">
        <f>E7*F7*bGlobDam</f>
        <v>0</v>
      </c>
      <c r="J7" s="537">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5" t="str">
        <f>instatklng</f>
        <v>Sinister Strike</v>
      </c>
      <c r="B8" s="566">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67"/>
      <c r="D8" s="568">
        <f>B8*(1+((leth*0.06+2)-1)*(cfact-1))</f>
        <v>2349.2928798536086</v>
      </c>
      <c r="E8" s="568">
        <f>avginst*fwfactor</f>
        <v>1288.9417237527728</v>
      </c>
      <c r="F8" s="569"/>
      <c r="G8" s="570"/>
      <c r="H8" s="571"/>
      <c r="I8" s="572">
        <f>Q17*E8*bGlobDam*(1+DDmult)*IF(Talents!$O$27="Instants",1+Talents!I37*20%/(30*instsec),1)</f>
        <v>422.31929549312446</v>
      </c>
      <c r="J8" s="573">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4" t="s">
        <v>1184</v>
      </c>
      <c r="B9" s="545"/>
      <c r="C9" s="546"/>
      <c r="D9" s="547"/>
      <c r="E9" s="548"/>
      <c r="F9" s="549"/>
      <c r="G9" s="550"/>
      <c r="H9" s="551"/>
      <c r="I9" s="552">
        <f>Cycles!$Y$10*bGlobDam*(1+DDmult)</f>
        <v>0</v>
      </c>
      <c r="J9" s="553">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4" t="s">
        <v>1186</v>
      </c>
      <c r="B10" s="554"/>
      <c r="C10" s="555"/>
      <c r="D10" s="556"/>
      <c r="E10" s="556">
        <f>IF(evisec=0,0,evidmg)</f>
        <v>1459.2710844590233</v>
      </c>
      <c r="F10" s="557"/>
      <c r="G10" s="558"/>
      <c r="H10" s="559"/>
      <c r="I10" s="552">
        <f>E10*evisec/armor*bGlobDam*(1+DDmult)*(IF(AND(NOT(IF(Talents!$O$27="Instants",1,0)),Q18&gt;0),1+Talents!I37*20%/(30*Q18),1))</f>
        <v>4.928344503418173</v>
      </c>
      <c r="J10" s="553">
        <f t="shared" si="1"/>
        <v>3.6557876054689742</v>
      </c>
      <c r="K10" s="109"/>
      <c r="M10" s="74"/>
      <c r="O10" s="66" t="s">
        <v>1190</v>
      </c>
      <c r="Q10" s="66">
        <f>BaseGlanFact</f>
        <v>0.75</v>
      </c>
      <c r="T10" s="160" t="s">
        <v>3094</v>
      </c>
      <c r="U10" s="1332">
        <f>IF(CharLevel*5-BossLevel*5&lt;0, 0.2%, 0.04%)</f>
        <v>2E-3</v>
      </c>
    </row>
    <row r="11" spans="1:21">
      <c r="A11" s="544" t="s">
        <v>1188</v>
      </c>
      <c r="B11" s="554"/>
      <c r="C11" s="555"/>
      <c r="D11" s="556"/>
      <c r="E11" s="556">
        <f>rupdmg</f>
        <v>1759.7269451999114</v>
      </c>
      <c r="F11" s="557"/>
      <c r="G11" s="558"/>
      <c r="H11" s="559"/>
      <c r="I11" s="552">
        <f>E11*rupsec*bGlobDam*(1+DDmult)*(IF(AND(NOT(IF(Talents!$O$27="Instants",1,0)),Q18&gt;0),1+Talents!I37*20%/(30*Q18),1))</f>
        <v>115.52681337841148</v>
      </c>
      <c r="J11" s="553">
        <f>I11</f>
        <v>115.52681337841148</v>
      </c>
      <c r="K11" s="109"/>
      <c r="L11" s="66" t="s">
        <v>1192</v>
      </c>
      <c r="M11" s="75">
        <f>MHavg</f>
        <v>211</v>
      </c>
      <c r="O11" s="66" t="s">
        <v>1193</v>
      </c>
      <c r="Q11" s="66">
        <f>BaseGlanFact</f>
        <v>0.75</v>
      </c>
    </row>
    <row r="12" spans="1:21" ht="12.75" customHeight="1" thickBot="1">
      <c r="A12" s="574" t="s">
        <v>1191</v>
      </c>
      <c r="B12" s="575"/>
      <c r="C12" s="576"/>
      <c r="D12" s="577"/>
      <c r="E12" s="577">
        <f>envdmg</f>
        <v>0</v>
      </c>
      <c r="F12" s="578"/>
      <c r="G12" s="579"/>
      <c r="H12" s="580"/>
      <c r="I12" s="581">
        <f>E12*envsec*bGlobDam*(1+DDmult)*(IF(AND(NOT(IF(Talents!$O$27="Instants",1,0)),Q18&gt;0),1+Talents!I37*20%/(30*Q18),1))</f>
        <v>0</v>
      </c>
      <c r="J12" s="582">
        <f>I12</f>
        <v>0</v>
      </c>
      <c r="K12" s="109"/>
      <c r="L12" s="66" t="s">
        <v>1195</v>
      </c>
      <c r="M12" s="66">
        <f>MHspd</f>
        <v>2.6</v>
      </c>
      <c r="O12" s="66" t="s">
        <v>1196</v>
      </c>
      <c r="Q12" s="68">
        <f>(IF(mhtype="Sword",talSwSpcFac,0)+IF(mh="blinkstrike",0.02,0))</f>
        <v>7.0000000000000007E-2</v>
      </c>
      <c r="R12" s="896">
        <f>(1-B19-B20)*Q12</f>
        <v>6.8569268292682936E-2</v>
      </c>
      <c r="T12" s="66" t="s">
        <v>3097</v>
      </c>
      <c r="U12" s="1333">
        <f>1-MAX(4%+(BossLevel-CharLevel)*1%+MAX((BossLevel-CharLevel-2)*10%,0%),1%)</f>
        <v>0.83</v>
      </c>
    </row>
    <row r="13" spans="1:21">
      <c r="A13" s="503" t="s">
        <v>1194</v>
      </c>
      <c r="B13" s="560"/>
      <c r="C13" s="561"/>
      <c r="D13" s="562"/>
      <c r="E13" s="562"/>
      <c r="F13" s="342"/>
      <c r="G13" s="334"/>
      <c r="H13" s="349"/>
      <c r="I13" s="563">
        <f>('Weap Enchants'!X3+Q33)</f>
        <v>27.290231355562383</v>
      </c>
      <c r="J13" s="564">
        <f>I13</f>
        <v>27.290231355562383</v>
      </c>
      <c r="K13" s="109"/>
      <c r="L13" s="66" t="s">
        <v>1198</v>
      </c>
      <c r="M13" s="75">
        <f>ohavg</f>
        <v>100.5</v>
      </c>
      <c r="O13" s="66" t="s">
        <v>1199</v>
      </c>
      <c r="Q13" s="68">
        <f>(IF(ohtype="Sword",talSwSpcFac,0))+IF(oh="blinkstrike",0.02,0)</f>
        <v>0.05</v>
      </c>
      <c r="R13" s="896">
        <f>(1-D19-D20)*Q13</f>
        <v>4.897804878048781E-2</v>
      </c>
    </row>
    <row r="14" spans="1:21" ht="12.75" customHeight="1">
      <c r="A14" s="504" t="s">
        <v>1197</v>
      </c>
      <c r="B14" s="330"/>
      <c r="C14" s="331"/>
      <c r="D14" s="346"/>
      <c r="E14" s="346"/>
      <c r="F14" s="343"/>
      <c r="G14" s="335"/>
      <c r="H14" s="350"/>
      <c r="I14" s="347">
        <f>'Weap Enchants'!X5*tlMURfac*IF(Talents!O36="No",(1+'Gear &amp; Buffs'!B106*0.01*'Gear &amp; Buffs'!C106),1)</f>
        <v>79.110112401040908</v>
      </c>
      <c r="J14" s="505">
        <f>I14</f>
        <v>79.110112401040908</v>
      </c>
      <c r="L14" s="66" t="s">
        <v>1201</v>
      </c>
      <c r="M14" s="66">
        <f>ohspd</f>
        <v>1.4</v>
      </c>
      <c r="O14" s="76" t="s">
        <v>1202</v>
      </c>
      <c r="Q14" s="77">
        <f>bMHhsec+G3</f>
        <v>0.60118092550473101</v>
      </c>
      <c r="T14" s="66" t="s">
        <v>3098</v>
      </c>
      <c r="U14" s="1334">
        <v>0.25</v>
      </c>
    </row>
    <row r="15" spans="1:21" ht="13.5" thickBot="1">
      <c r="A15" s="508"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6">
        <f>I15</f>
        <v>0</v>
      </c>
      <c r="Q15" s="78"/>
    </row>
    <row r="16" spans="1:21" ht="13.5" thickBot="1">
      <c r="A16" s="509" t="s">
        <v>1203</v>
      </c>
      <c r="B16" s="510"/>
      <c r="C16" s="511"/>
      <c r="D16" s="512"/>
      <c r="E16" s="512"/>
      <c r="F16" s="513"/>
      <c r="G16" s="514"/>
      <c r="H16" s="515"/>
      <c r="I16" s="1311">
        <f>SUM(I2:I15)</f>
        <v>1999.989011355666</v>
      </c>
      <c r="J16" s="1312">
        <f>SUM(J2:J15)</f>
        <v>1555.182530256119</v>
      </c>
      <c r="O16" s="76" t="s">
        <v>1204</v>
      </c>
      <c r="Q16" s="77">
        <f>bOHhsec+G6+G7</f>
        <v>1.1164788616516437</v>
      </c>
      <c r="T16" s="15" t="s">
        <v>3110</v>
      </c>
      <c r="U16" s="648">
        <f>IF(numPhysDps=0,0,10/35*10/(2*numPhysDps))</f>
        <v>0.14285714285714285</v>
      </c>
    </row>
    <row r="17" spans="1:21">
      <c r="O17" s="76" t="s">
        <v>2250</v>
      </c>
      <c r="Q17" s="80">
        <f>instsec</f>
        <v>0.30886886428081306</v>
      </c>
      <c r="R17" s="648">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48">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4"/>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4"/>
      <c r="O31" s="66" t="s">
        <v>1359</v>
      </c>
      <c r="Q31" s="73">
        <f>(Q14+Q19)*B23/(1-B19-B20)+Q16*D23/(1-D19-D20)+Q17*F23/(1-F20)*(IF(instatk="mut",2,1)+Q18*K23/(1-K19))</f>
        <v>0.49458936445297341</v>
      </c>
    </row>
    <row r="32" spans="1:21">
      <c r="J32"/>
      <c r="K32" s="894"/>
      <c r="Q32" s="68"/>
      <c r="R32" s="85"/>
    </row>
    <row r="33" spans="1:18">
      <c r="A33" s="355" t="s">
        <v>432</v>
      </c>
      <c r="B33" s="355"/>
      <c r="J33"/>
      <c r="K33" s="894"/>
      <c r="O33" s="66" t="s">
        <v>2252</v>
      </c>
      <c r="Q33" s="73">
        <f>'Weap Enchants'!W22</f>
        <v>27.290231355562383</v>
      </c>
    </row>
    <row r="34" spans="1:18">
      <c r="A34" s="65" t="s">
        <v>57</v>
      </c>
      <c r="B34" s="1345">
        <f>MAX(BaseDodPerc-IF(AND('Gear &amp; Buffs'!B74="Human",OR(mhtype="Sword",mhtype="Mace")),1.25%,0)-'Gear &amp; Buffs'!L75/skillrate*0.25%,0)</f>
        <v>2.7500000000000004E-2</v>
      </c>
      <c r="C34" s="1344">
        <f>CEILING(B34/0.25%*skillrate,1)</f>
        <v>44</v>
      </c>
      <c r="D34" s="1344">
        <f>C34-'Gear &amp; Buffs'!L143+'Gear &amp; Buffs'!L75</f>
        <v>30</v>
      </c>
      <c r="J34"/>
      <c r="K34" s="894"/>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4"/>
    </row>
    <row r="36" spans="1:18">
      <c r="J36"/>
      <c r="K36" s="894"/>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0">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0">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0">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48">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1">
        <f>$C$45</f>
        <v>0</v>
      </c>
      <c r="G51" s="365" t="s">
        <v>1132</v>
      </c>
      <c r="H51" s="160"/>
      <c r="I51" s="160"/>
      <c r="J51" s="160"/>
      <c r="K51" s="160"/>
      <c r="L51" s="160" t="s">
        <v>2303</v>
      </c>
      <c r="M51" s="363"/>
      <c r="O51" s="66" t="s">
        <v>2407</v>
      </c>
      <c r="Q51" s="648">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1">
        <f>$B$45*bMHthit*$C$42/(1-$C$42*$C$44*$C$47*bMHthit^3)</f>
        <v>0</v>
      </c>
      <c r="G52" s="362"/>
      <c r="H52" s="160" t="s">
        <v>1187</v>
      </c>
      <c r="I52" s="160" t="s">
        <v>2296</v>
      </c>
      <c r="J52" s="160" t="s">
        <v>2297</v>
      </c>
      <c r="K52" s="160" t="s">
        <v>2309</v>
      </c>
      <c r="L52" s="160" t="s">
        <v>2304</v>
      </c>
      <c r="M52" s="363" t="s">
        <v>2305</v>
      </c>
      <c r="O52" s="66" t="s">
        <v>2408</v>
      </c>
      <c r="Q52" s="648">
        <f>IF(bs8p, 0.05*(D8-E8)*(5*evisec), 0)</f>
        <v>0</v>
      </c>
      <c r="R52" s="66" t="s">
        <v>1752</v>
      </c>
    </row>
    <row r="53" spans="1:21">
      <c r="A53" s="385">
        <f>$B$42*bMHthit*$C$45/(1-$C$44*$C$47*$C$45*bMHthit^3)</f>
        <v>0</v>
      </c>
      <c r="B53" s="386">
        <f>$B$44*bMHthit*$C$45/(1-$C$42*$C$47*$C$45*bMHthit^3)</f>
        <v>0</v>
      </c>
      <c r="C53" s="386">
        <f>$B$47*bMHthit*$C$45/(1-$C$42*$C$44*$C$45*bMHthit^3)</f>
        <v>0</v>
      </c>
      <c r="D53" s="891">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48"/>
    </row>
    <row r="54" spans="1:21">
      <c r="A54" s="385">
        <f>$B$42*bMHthit*$C$47/(1-$C$44*$C$47*$C$45*bMHthit^3)</f>
        <v>6.4245866377930123E-3</v>
      </c>
      <c r="B54" s="386">
        <f>$B$44*bMHthit*$C$47/(1-$C$42*$C$47*$C$45*bMHthit^3)</f>
        <v>5.5679750860872772E-3</v>
      </c>
      <c r="C54" s="386">
        <f>$B$47*bMHthit*$C$44/(1-$C$42*$C$44*$C$45*bMHthit^3)</f>
        <v>8.6708295855188987E-3</v>
      </c>
      <c r="D54" s="891">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1">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1">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1">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1">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1">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1">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2">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88" t="s">
        <v>2914</v>
      </c>
      <c r="AN5" s="888"/>
      <c r="AO5" s="888"/>
      <c r="AP5" s="888"/>
      <c r="AQ5" s="888"/>
      <c r="AR5" s="888"/>
      <c r="AS5" s="888"/>
      <c r="AT5" s="888"/>
      <c r="AU5" s="888"/>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88" t="s">
        <v>2915</v>
      </c>
      <c r="AN8" s="888"/>
      <c r="AO8" s="888"/>
      <c r="AP8" s="888"/>
      <c r="AQ8" s="888"/>
      <c r="AR8" s="888"/>
      <c r="AS8" s="888"/>
      <c r="AT8" s="888"/>
      <c r="AU8" s="888"/>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88" t="s">
        <v>2916</v>
      </c>
      <c r="AN14" s="888"/>
      <c r="AO14" s="888"/>
      <c r="AP14" s="888"/>
      <c r="AQ14" s="888"/>
      <c r="AR14" s="888"/>
      <c r="AS14" s="888"/>
      <c r="AT14" s="888"/>
      <c r="AU14" s="888"/>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88" t="s">
        <v>2918</v>
      </c>
      <c r="AN32" s="888"/>
      <c r="AO32" s="888"/>
      <c r="AP32" s="888"/>
      <c r="AQ32" s="888"/>
      <c r="AR32" s="888"/>
      <c r="AS32" s="888"/>
      <c r="AT32" s="888"/>
      <c r="AU32" s="888"/>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4">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89">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4">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5"/>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08">
        <f t="shared" si="329"/>
        <v>0</v>
      </c>
      <c r="AC602" s="25">
        <f t="shared" si="339"/>
        <v>0</v>
      </c>
      <c r="AD602" s="1308">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897"/>
      <c r="B603" s="897"/>
      <c r="C603" s="897"/>
      <c r="D603" s="898">
        <f>COUNTIF(D3:D602,"=1")</f>
        <v>5</v>
      </c>
      <c r="E603" s="897"/>
      <c r="F603" s="897"/>
      <c r="G603" s="898">
        <f>COUNTIF(G3:G602,"=1")</f>
        <v>4</v>
      </c>
      <c r="H603" s="897"/>
      <c r="I603" s="897"/>
      <c r="J603" s="898">
        <f>COUNTIF(J3:J602,"=1")</f>
        <v>3</v>
      </c>
      <c r="K603" s="897"/>
      <c r="L603" s="897"/>
      <c r="M603" s="898">
        <f>COUNTIF(M3:M602,"=1")</f>
        <v>2</v>
      </c>
      <c r="N603" s="897"/>
      <c r="O603" s="897"/>
      <c r="P603" s="898">
        <f>COUNTIF(P3:P602, "&gt;0")</f>
        <v>15</v>
      </c>
      <c r="Q603" s="897"/>
      <c r="R603" s="897"/>
      <c r="S603" s="898">
        <f>COUNTIF(S3:S602,"=1")</f>
        <v>1</v>
      </c>
      <c r="T603" s="897"/>
      <c r="U603" s="897"/>
      <c r="V603" s="897"/>
      <c r="W603" s="897"/>
      <c r="X603" s="897"/>
      <c r="Y603" s="897"/>
      <c r="Z603" s="897"/>
      <c r="AA603" s="897"/>
      <c r="AB603" s="899"/>
      <c r="AC603" s="900"/>
      <c r="AD603" s="899"/>
      <c r="AE603" s="900"/>
      <c r="AF603" s="900"/>
      <c r="AG603" s="900"/>
      <c r="AH603" s="900"/>
      <c r="AI603" s="900"/>
      <c r="AJ603" s="900"/>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67" workbookViewId="0">
      <selection activeCell="B110" sqref="B110"/>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67"/>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0">
        <f>MHavg</f>
        <v>211</v>
      </c>
      <c r="C9" s="6" t="s">
        <v>734</v>
      </c>
      <c r="D9" s="324"/>
    </row>
    <row r="10" spans="1:4">
      <c r="A10" s="6" t="s">
        <v>735</v>
      </c>
      <c r="B10" s="217">
        <f>MHspd</f>
        <v>2.6</v>
      </c>
      <c r="C10" s="6" t="s">
        <v>736</v>
      </c>
      <c r="D10" s="324"/>
    </row>
    <row r="11" spans="1:4">
      <c r="A11" s="6" t="s">
        <v>739</v>
      </c>
      <c r="B11" s="650">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57">
        <v>2.4</v>
      </c>
      <c r="C14" s="6" t="s">
        <v>835</v>
      </c>
      <c r="D14" s="324"/>
    </row>
    <row r="15" spans="1:4">
      <c r="A15" s="6" t="s">
        <v>637</v>
      </c>
      <c r="B15" s="1357">
        <v>1.7</v>
      </c>
      <c r="C15" s="6" t="s">
        <v>836</v>
      </c>
      <c r="D15" s="324"/>
    </row>
    <row r="16" spans="1:4">
      <c r="A16" s="6" t="s">
        <v>111</v>
      </c>
      <c r="B16" s="1357">
        <f>IF(mhtype="Dagger",NormDag,NormWeap)</f>
        <v>2.4</v>
      </c>
      <c r="D16" s="324"/>
    </row>
    <row r="17" spans="1:4">
      <c r="A17" s="6" t="s">
        <v>112</v>
      </c>
      <c r="B17" s="1357">
        <f>IF(ohtype="Dagger",NormDag,NormWeap)</f>
        <v>2.4</v>
      </c>
      <c r="D17" s="324"/>
    </row>
    <row r="18" spans="1:4" s="218" customFormat="1">
      <c r="A18" s="218" t="s">
        <v>3038</v>
      </c>
      <c r="B18" s="236"/>
    </row>
    <row r="19" spans="1:4" s="221" customFormat="1">
      <c r="A19" s="221" t="s">
        <v>618</v>
      </c>
      <c r="B19" s="1358">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59"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0">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59">
        <f>talDWSpec</f>
        <v>5</v>
      </c>
    </row>
    <row r="75" spans="1:3">
      <c r="A75" s="6" t="s">
        <v>2051</v>
      </c>
      <c r="B75" s="337">
        <v>0.1</v>
      </c>
    </row>
    <row r="76" spans="1:3" s="221" customFormat="1">
      <c r="A76" s="221" t="s">
        <v>1163</v>
      </c>
      <c r="B76" s="1359">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59">
        <f>tlMurder</f>
        <v>2</v>
      </c>
    </row>
    <row r="82" spans="1:3">
      <c r="A82" s="6" t="s">
        <v>2035</v>
      </c>
      <c r="B82" s="337">
        <v>0.01</v>
      </c>
      <c r="C82" s="6" t="s">
        <v>1159</v>
      </c>
    </row>
    <row r="83" spans="1:3" s="328" customFormat="1">
      <c r="A83" s="328" t="s">
        <v>2036</v>
      </c>
      <c r="B83" s="1361">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0">
        <f>tlSA*$B$85</f>
        <v>0.1</v>
      </c>
    </row>
    <row r="87" spans="1:3">
      <c r="A87" s="6" t="s">
        <v>1158</v>
      </c>
      <c r="B87" s="120">
        <f>tlOPP</f>
        <v>0</v>
      </c>
    </row>
    <row r="88" spans="1:3">
      <c r="A88" s="6" t="s">
        <v>2035</v>
      </c>
      <c r="B88" s="337">
        <v>0.04</v>
      </c>
      <c r="C88" s="6" t="s">
        <v>1162</v>
      </c>
    </row>
    <row r="89" spans="1:3" s="328" customFormat="1">
      <c r="A89" s="328" t="s">
        <v>1169</v>
      </c>
      <c r="B89" s="1360">
        <f>tlOPP*$B$88</f>
        <v>0</v>
      </c>
    </row>
    <row r="90" spans="1:3">
      <c r="A90" s="6" t="s">
        <v>1164</v>
      </c>
      <c r="B90" s="120">
        <f>tlAGG</f>
        <v>3</v>
      </c>
    </row>
    <row r="91" spans="1:3">
      <c r="A91" s="6" t="s">
        <v>2035</v>
      </c>
      <c r="B91" s="337">
        <v>0.02</v>
      </c>
      <c r="C91" s="6" t="s">
        <v>1165</v>
      </c>
    </row>
    <row r="92" spans="1:3" s="328" customFormat="1">
      <c r="A92" s="328" t="s">
        <v>1168</v>
      </c>
      <c r="B92" s="1360">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2"/>
    </row>
    <row r="111" spans="1:4" s="478" customFormat="1">
      <c r="A111" s="478" t="s">
        <v>74</v>
      </c>
      <c r="B111" s="1362"/>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0" t="s">
        <v>3253</v>
      </c>
      <c r="B1" s="1391" t="s">
        <v>2145</v>
      </c>
      <c r="C1" s="1391" t="s">
        <v>2334</v>
      </c>
      <c r="D1" s="1391" t="s">
        <v>1062</v>
      </c>
      <c r="E1" s="1391" t="s">
        <v>3269</v>
      </c>
      <c r="F1" s="1391" t="s">
        <v>1077</v>
      </c>
      <c r="G1" s="1391" t="s">
        <v>825</v>
      </c>
      <c r="H1" s="1391" t="s">
        <v>1003</v>
      </c>
      <c r="I1" s="1391" t="s">
        <v>998</v>
      </c>
      <c r="J1" s="1391" t="s">
        <v>3270</v>
      </c>
      <c r="K1" s="1392" t="s">
        <v>961</v>
      </c>
    </row>
    <row r="2" spans="1:11">
      <c r="A2" s="1395" t="s">
        <v>3254</v>
      </c>
      <c r="B2" s="1393">
        <v>1</v>
      </c>
      <c r="C2" s="1393">
        <v>2</v>
      </c>
      <c r="D2" s="1393">
        <v>3</v>
      </c>
      <c r="E2" s="1393">
        <v>4</v>
      </c>
      <c r="F2" s="1393">
        <v>5</v>
      </c>
      <c r="G2" s="1393">
        <v>6</v>
      </c>
      <c r="H2" s="1393">
        <v>7</v>
      </c>
      <c r="I2" s="1393">
        <v>8</v>
      </c>
      <c r="J2" s="1393">
        <v>9</v>
      </c>
      <c r="K2" s="1394">
        <v>10</v>
      </c>
    </row>
    <row r="3" spans="1:11">
      <c r="A3" s="1396" t="s">
        <v>3044</v>
      </c>
      <c r="B3" s="1325"/>
      <c r="C3" s="1325"/>
      <c r="D3" s="1325"/>
      <c r="E3" s="1325"/>
      <c r="F3" s="1325"/>
      <c r="G3" s="1325"/>
      <c r="H3" s="1325"/>
      <c r="I3" s="1325"/>
      <c r="J3" s="1325" t="str">
        <f>IF(AND(includep3, includeblacktemple), "Warglaive of Azzinoth", "")</f>
        <v/>
      </c>
      <c r="K3" s="1398" t="str">
        <f>IF(AND(includep5, include5man), "Latro's Dancing Blade", "")</f>
        <v/>
      </c>
    </row>
    <row r="4" spans="1:11">
      <c r="A4" s="1396" t="s">
        <v>3045</v>
      </c>
      <c r="B4" s="1325"/>
      <c r="C4" s="1325"/>
      <c r="D4" s="1325"/>
      <c r="E4" s="1325"/>
      <c r="F4" s="1325"/>
      <c r="G4" s="1325"/>
      <c r="H4" s="1325"/>
      <c r="I4" s="1325"/>
      <c r="J4" s="1325" t="str">
        <f>IF(AND(includep3, includeblacktemple), "Warglaive of Azzinoth", "")</f>
        <v/>
      </c>
      <c r="K4" s="1398" t="str">
        <f>IF(AND(includep1, include5man), "Latro's Shifting Sword", "")</f>
        <v>Latro's Shifting Sword</v>
      </c>
    </row>
    <row r="5" spans="1:11">
      <c r="A5" s="1396" t="s">
        <v>3255</v>
      </c>
      <c r="B5" s="1325" t="str">
        <f>IF(AND(includep1, include5man), "Helm of Assassination", "")</f>
        <v>Helm of Assassination</v>
      </c>
      <c r="C5" s="1325" t="str">
        <f>IF(AND(includep1, includeprebc), "Bonescythe Helmet", "")</f>
        <v>Bonescythe Helmet</v>
      </c>
      <c r="D5" s="1325" t="str">
        <f>IF(AND(includep2, includessc), "Deathmantle Helm", "")</f>
        <v/>
      </c>
      <c r="E5" s="1325" t="str">
        <f>IF(includepvp,IF(includep5,"Brutal Gladiator's Leather Helm",IF(includep3,"Vengeful Gladiator's Leather Helm",IF(includep2,"Merciless Gladiator's Leather Helm",IF(includep1,"Gladiator's Leather Helm","")))),"")</f>
        <v>Gladiator's Leather Helm</v>
      </c>
      <c r="F5" s="1325" t="str">
        <f>IF(AND(includep1, includekarahzan), "Netherblade Facemask", "")</f>
        <v>Netherblade Facemask</v>
      </c>
      <c r="G5" s="1325"/>
      <c r="H5" s="1325" t="str">
        <f>IF(AND(includep1, includeheroic), "Wastewalker Helm", "")</f>
        <v>Wastewalker Helm</v>
      </c>
      <c r="I5" s="1325" t="str">
        <f>IF(AND(includep3, includemounthyjal), "Slayer's Helm", "")</f>
        <v/>
      </c>
      <c r="J5" s="1325"/>
      <c r="K5" s="1398"/>
    </row>
    <row r="6" spans="1:11">
      <c r="A6" s="1396" t="s">
        <v>659</v>
      </c>
      <c r="B6" s="1325" t="str">
        <f>IF(AND(includep1, include5man), "Shoulderpads of Assassination", "")</f>
        <v>Shoulderpads of Assassination</v>
      </c>
      <c r="C6" s="1325" t="str">
        <f>IF(AND(includep1, includeprebc), "Bonescythe Pauldrons", "")</f>
        <v>Bonescythe Pauldrons</v>
      </c>
      <c r="D6" s="1325" t="str">
        <f>IF(AND(includep2, includetheeye), "Deathmantle Shoulderpads", "")</f>
        <v/>
      </c>
      <c r="E6" s="1325" t="str">
        <f>IF(includepvp,IF(includep5,"Brutal Gladiator's Leather Spaulders",IF(includep3,"Vengeful Gladiator's Leather Spaulders",IF(includep2,"Merciless Gladiator's Leather Spaulders",IF(includep1,"Gladiator's Leather Spaulders","")))),"")</f>
        <v>Gladiator's Leather Spaulders</v>
      </c>
      <c r="F6" s="1325" t="str">
        <f>IF(AND(includep1, includegruul), "Netherblade Shoulderpads", "")</f>
        <v>Netherblade Shoulderpads</v>
      </c>
      <c r="G6" s="1325"/>
      <c r="H6" s="1325" t="str">
        <f>IF(AND(includep1, includeheroic), "Wastewalker Shoulderpads", "")</f>
        <v>Wastewalker Shoulderpads</v>
      </c>
      <c r="I6" s="1325" t="str">
        <f>IF(AND(includep3, includeblacktemple), "Slayer's Shoulderpads", "")</f>
        <v/>
      </c>
      <c r="J6" s="1325"/>
      <c r="K6" s="1398"/>
    </row>
    <row r="7" spans="1:11">
      <c r="A7" s="1396" t="s">
        <v>1123</v>
      </c>
      <c r="B7" s="1325" t="str">
        <f>IF(AND(includep1, include5man), "Tunic of Assassination", "")</f>
        <v>Tunic of Assassination</v>
      </c>
      <c r="C7" s="1325" t="str">
        <f>IF(AND(includep1, includeprebc), "Bonescythe Breastplate", "")</f>
        <v>Bonescythe Breastplate</v>
      </c>
      <c r="D7" s="1325" t="str">
        <f>IF(AND(includep2, includetheeye), "Deathmantle Chestguard", "")</f>
        <v/>
      </c>
      <c r="E7" s="1325" t="str">
        <f>IF(includepvp,IF(includep5,"Brutal Gladiator's Leather Tunic",IF(includep3,"Vengeful Gladiator's Leather Tunic",IF(includep2,"Merciless Gladiator's Leather Tunic",IF(includep1,"Gladiator's Leather Tunic","")))),"")</f>
        <v>Gladiator's Leather Tunic</v>
      </c>
      <c r="F7" s="1325" t="str">
        <f>IF(AND(includep1, includemagtheridon), "Netherblade Chestpiece", "")</f>
        <v>Netherblade Chestpiece</v>
      </c>
      <c r="G7" s="1325" t="str">
        <f>IF(AND(includep1, includeleatherwork), "Primalstrike Vest", "")</f>
        <v>Primalstrike Vest</v>
      </c>
      <c r="H7" s="1325" t="str">
        <f>IF(AND(includep1, includeheroic), "Wastewalker Tunic", "")</f>
        <v>Wastewalker Tunic</v>
      </c>
      <c r="I7" s="1325" t="str">
        <f>IF(AND(includep3, includeblacktemple), "Slayer's Chestguard", "")</f>
        <v/>
      </c>
      <c r="J7" s="1325"/>
      <c r="K7" s="1398"/>
    </row>
    <row r="8" spans="1:11">
      <c r="A8" s="1396" t="s">
        <v>3256</v>
      </c>
      <c r="B8" s="1325"/>
      <c r="C8" s="1325" t="str">
        <f>IF(AND(includep1, includeprebc), "Bonescythe Bracers", "")</f>
        <v>Bonescythe Bracers</v>
      </c>
      <c r="D8" s="1325"/>
      <c r="E8" s="1325"/>
      <c r="F8" s="1325"/>
      <c r="G8" s="1325" t="str">
        <f>IF(AND(includep1, includeleatherwork), "Primalstrike Bracers", "")</f>
        <v>Primalstrike Bracers</v>
      </c>
      <c r="H8" s="1325"/>
      <c r="I8" s="1325" t="str">
        <f>IF(AND(includep5, includesunwell), "Slayer's Bracers", "")</f>
        <v/>
      </c>
      <c r="J8" s="1325"/>
      <c r="K8" s="1398"/>
    </row>
    <row r="9" spans="1:11">
      <c r="A9" s="1396" t="s">
        <v>3257</v>
      </c>
      <c r="B9" s="1325" t="str">
        <f>IF(AND(includep1, include5man), "Handgrips of Assassination", "")</f>
        <v>Handgrips of Assassination</v>
      </c>
      <c r="C9" s="1325" t="str">
        <f>IF(AND(includep1, includeprebc), "Bonescythe Gauntlets", "")</f>
        <v>Bonescythe Gauntlets</v>
      </c>
      <c r="D9" s="1325" t="str">
        <f>IF(AND(includep2, includessc), "Deathmantle Handguards", "")</f>
        <v/>
      </c>
      <c r="E9" s="1325" t="str">
        <f>IF(includepvp,IF(includep5,"Brutal Gladiator's Leather Gloves",IF(includep3,"Vengeful Gladiator's Leather Gloves",IF(includep2,"Merciless Gladiator's Leather Gloves",IF(includep1,"Gladiator's Leather Gloves","")))),"")</f>
        <v>Gladiator's Leather Gloves</v>
      </c>
      <c r="F9" s="1325" t="str">
        <f>IF(AND(includep1, includekarahzan), "Netherblade Gloves", "")</f>
        <v>Netherblade Gloves</v>
      </c>
      <c r="G9" s="1325"/>
      <c r="H9" s="1325" t="str">
        <f>IF(AND(includep1, includeheroic), "Wastewalker Gloves", "")</f>
        <v>Wastewalker Gloves</v>
      </c>
      <c r="I9" s="1325" t="str">
        <f>IF(AND(includep3, includemounthyjal), "Slayer's Handguards", "")</f>
        <v/>
      </c>
      <c r="J9" s="1325"/>
      <c r="K9" s="1398"/>
    </row>
    <row r="10" spans="1:11">
      <c r="A10" s="1396" t="s">
        <v>2437</v>
      </c>
      <c r="B10" s="1325"/>
      <c r="C10" s="1325" t="str">
        <f>IF(AND(includep1, includeprebc), "Bonescythe Waistguard", "")</f>
        <v>Bonescythe Waistguard</v>
      </c>
      <c r="D10" s="1325"/>
      <c r="E10" s="1325"/>
      <c r="F10" s="1325"/>
      <c r="G10" s="1325" t="str">
        <f>IF(AND(includep1, includeleatherwork), "Primalstrike Belt", "")</f>
        <v>Primalstrike Belt</v>
      </c>
      <c r="H10" s="1325"/>
      <c r="I10" s="1325" t="str">
        <f>IF(AND(includep5, includesunwell), "Slayer's Belt", "")</f>
        <v/>
      </c>
      <c r="J10" s="1325"/>
      <c r="K10" s="1398"/>
    </row>
    <row r="11" spans="1:11">
      <c r="A11" s="1396" t="s">
        <v>2079</v>
      </c>
      <c r="B11" s="1325" t="str">
        <f>IF(AND(includep1, include5man), "Leggings of Assassination", "")</f>
        <v>Leggings of Assassination</v>
      </c>
      <c r="C11" s="1325" t="str">
        <f>IF(AND(includep1, includeprebc), "Bonescythe Legplates", "")</f>
        <v>Bonescythe Legplates</v>
      </c>
      <c r="D11" s="1325" t="str">
        <f>IF(AND(includep2, includessc), "Deathmantle Legguards", "")</f>
        <v/>
      </c>
      <c r="E11" s="1325" t="str">
        <f>IF(includepvp,IF(includep5,"Brutal Gladiator's Leather Legguards",IF(includep3,"Vengeful Gladiator's Leather Legguards",IF(includep2,"Merciless Gladiator's Leather Legguards",IF(includep1,"Gladiator's Leather Legguards","")))),"")</f>
        <v>Gladiator's Leather Legguards</v>
      </c>
      <c r="F11" s="1325" t="str">
        <f>IF(AND(includep1, includegruul), "Netherblade Breeches", "")</f>
        <v>Netherblade Breeches</v>
      </c>
      <c r="G11" s="1325"/>
      <c r="H11" s="1325" t="str">
        <f>IF(AND(includep1, includeheroic), "Wastewalker Leggings", "")</f>
        <v>Wastewalker Leggings</v>
      </c>
      <c r="I11" s="1325" t="str">
        <f>IF(AND(includep3, includeblacktemple), "Slayer's Legguards", "")</f>
        <v/>
      </c>
      <c r="J11" s="1325"/>
      <c r="K11" s="1398"/>
    </row>
    <row r="12" spans="1:11">
      <c r="A12" s="1396" t="s">
        <v>2438</v>
      </c>
      <c r="B12" s="1325"/>
      <c r="C12" s="1325" t="str">
        <f>IF(AND(includep1, includeprebc), "Bonescythe Sabatons", "")</f>
        <v>Bonescythe Sabatons</v>
      </c>
      <c r="D12" s="1325"/>
      <c r="E12" s="1325"/>
      <c r="F12" s="1325"/>
      <c r="G12" s="1325"/>
      <c r="H12" s="1325"/>
      <c r="I12" s="1325" t="str">
        <f>IF(AND(includep5, includesunwell), "Slayer's Boots", "")</f>
        <v/>
      </c>
      <c r="J12" s="1325"/>
      <c r="K12" s="1398"/>
    </row>
    <row r="13" spans="1:11" ht="13.5" thickBot="1">
      <c r="A13" s="1397" t="s">
        <v>3258</v>
      </c>
      <c r="B13" s="1399"/>
      <c r="C13" s="1399" t="str">
        <f>IF(AND(includep1, includeprebc), "Bonescythe Ring", "")</f>
        <v>Bonescythe Ring</v>
      </c>
      <c r="D13" s="1399"/>
      <c r="E13" s="1399"/>
      <c r="F13" s="1399"/>
      <c r="G13" s="1399"/>
      <c r="H13" s="1399"/>
      <c r="I13" s="1399"/>
      <c r="J13" s="1399"/>
      <c r="K13" s="1400"/>
    </row>
    <row r="14" spans="1:11">
      <c r="A14" s="1396" t="s">
        <v>3259</v>
      </c>
      <c r="B14" s="765"/>
      <c r="C14" s="765"/>
      <c r="D14" s="765" t="str" cm="1">
        <f t="array" ref="D14">IF(SUMPRODUCT((TRIM(D$3:D$13)&lt;&gt;"")*1)&gt;=2, 26, "")</f>
        <v/>
      </c>
      <c r="E14" s="765"/>
      <c r="F14" s="765" cm="1">
        <f t="array" ref="F14">IF(SUMPRODUCT((TRIM(F$3:F$13)&lt;&gt;"")*1)&gt;=2, 30, "")</f>
        <v>30</v>
      </c>
      <c r="G14" s="765"/>
      <c r="H14" s="765" cm="1">
        <f t="array" ref="H14">IF(SUMPRODUCT((TRIM(H$3:H$13)&lt;&gt;"")*1)&gt;=2, 34, "")</f>
        <v>34</v>
      </c>
      <c r="I14" s="765" t="str" cm="1">
        <f t="array" ref="I14">IF(SUMPRODUCT((TRIM(I$3:I$13)&lt;&gt;"")*1)&gt;=2, 36, "")</f>
        <v/>
      </c>
      <c r="J14" s="765" t="str" cm="1">
        <f t="array" ref="J14">IF(SUMPRODUCT((TRIM(J$3:J$13)&lt;&gt;"")*1)&gt;=2, 38, "")</f>
        <v/>
      </c>
      <c r="K14" s="1329" t="str" cm="1">
        <f t="array" ref="K14">IF(SUMPRODUCT((TRIM(K$3:K$13)&lt;&gt;"")*1)&gt;=2, 39, "")</f>
        <v/>
      </c>
    </row>
    <row r="15" spans="1:11">
      <c r="A15" s="1396" t="s">
        <v>3260</v>
      </c>
      <c r="B15" s="765"/>
      <c r="C15" s="765"/>
      <c r="D15" s="765"/>
      <c r="E15" s="765"/>
      <c r="F15" s="765"/>
      <c r="G15" s="765" cm="1">
        <f t="array" ref="G15">IF(SUMPRODUCT((TRIM(G$3:G$13)&lt;&gt;"")*1)&gt;=3, 33, "")</f>
        <v>33</v>
      </c>
      <c r="H15" s="765"/>
      <c r="I15" s="765"/>
      <c r="J15" s="765"/>
      <c r="K15" s="1329"/>
    </row>
    <row r="16" spans="1:11">
      <c r="A16" s="1396" t="s">
        <v>3261</v>
      </c>
      <c r="B16" s="765" cm="1">
        <f t="array" ref="B16">IF(SUMPRODUCT((TRIM(B$3:B$13)&lt;&gt;"")*1)&gt;=4, 23, "")</f>
        <v>23</v>
      </c>
      <c r="C16" s="765" cm="1">
        <f t="array" ref="C16">IF(SUMPRODUCT((TRIM(C$3:C$13)&lt;&gt;"")*1)&gt;=4, 24, "")</f>
        <v>24</v>
      </c>
      <c r="D16" s="765" t="str" cm="1">
        <f t="array" ref="D16">IF(SUMPRODUCT((TRIM(D$3:D$13)&lt;&gt;"")*1)&gt;=4, 27, "")</f>
        <v/>
      </c>
      <c r="E16" s="765" cm="1">
        <f t="array" ref="E16">IF(SUMPRODUCT((TRIM(E$3:E$13)&lt;&gt;"")*1)&gt;=4, 29, "")</f>
        <v>29</v>
      </c>
      <c r="F16" s="765" cm="1">
        <f t="array" ref="F16">IF(SUMPRODUCT((TRIM(F$3:F$13)&lt;&gt;"")*1)&gt;=4, 31, "")</f>
        <v>31</v>
      </c>
      <c r="G16" s="765"/>
      <c r="H16" s="765" cm="1">
        <f t="array" ref="H16">IF(SUMPRODUCT((TRIM(H$3:H$13)&lt;&gt;"")*1)&gt;=4, 35, "")</f>
        <v>35</v>
      </c>
      <c r="I16" s="765" t="str" cm="1">
        <f t="array" ref="I16">IF(SUMPRODUCT((TRIM(I$3:I$13)&lt;&gt;"")*1)&gt;=4, 37, "")</f>
        <v/>
      </c>
      <c r="J16" s="765"/>
      <c r="K16" s="1329"/>
    </row>
    <row r="17" spans="1:11">
      <c r="A17" s="1396" t="s">
        <v>3262</v>
      </c>
      <c r="B17" s="765"/>
      <c r="C17" s="765"/>
      <c r="D17" s="765"/>
      <c r="E17" s="765"/>
      <c r="F17" s="765"/>
      <c r="G17" s="765"/>
      <c r="H17" s="765"/>
      <c r="I17" s="765"/>
      <c r="J17" s="765"/>
      <c r="K17" s="1329"/>
    </row>
    <row r="18" spans="1:11">
      <c r="A18" s="1396" t="s">
        <v>3263</v>
      </c>
      <c r="B18" s="765"/>
      <c r="C18" s="765"/>
      <c r="D18" s="765"/>
      <c r="E18" s="765"/>
      <c r="F18" s="765"/>
      <c r="G18" s="765"/>
      <c r="H18" s="765"/>
      <c r="I18" s="765"/>
      <c r="J18" s="765"/>
      <c r="K18" s="1329"/>
    </row>
    <row r="19" spans="1:11">
      <c r="A19" s="1396" t="s">
        <v>3264</v>
      </c>
      <c r="B19" s="765"/>
      <c r="C19" s="765"/>
      <c r="D19" s="765"/>
      <c r="E19" s="765"/>
      <c r="F19" s="765"/>
      <c r="G19" s="765"/>
      <c r="H19" s="765"/>
      <c r="I19" s="765"/>
      <c r="J19" s="765"/>
      <c r="K19" s="1329"/>
    </row>
    <row r="20" spans="1:11" ht="13.5" thickBot="1">
      <c r="A20" s="1397" t="s">
        <v>3265</v>
      </c>
      <c r="B20" s="854"/>
      <c r="C20" s="854" cm="1">
        <f t="array" ref="C20">IF(SUMPRODUCT((TRIM(C$3:C$13)&lt;&gt;"")*1)&gt;=8, 25, "")</f>
        <v>25</v>
      </c>
      <c r="D20" s="854"/>
      <c r="E20" s="854"/>
      <c r="F20" s="854"/>
      <c r="G20" s="854"/>
      <c r="H20" s="854"/>
      <c r="I20" s="854"/>
      <c r="J20" s="854"/>
      <c r="K20" s="855"/>
    </row>
    <row r="21" spans="1:11">
      <c r="A21" s="718"/>
      <c r="B21" s="765"/>
      <c r="C21" s="765"/>
      <c r="D21" s="765"/>
      <c r="E21" s="765"/>
      <c r="F21" s="765"/>
      <c r="G21" s="765"/>
      <c r="H21" s="765"/>
      <c r="I21" s="765"/>
      <c r="J21" s="765"/>
      <c r="K21" s="765"/>
    </row>
    <row r="22" spans="1:11">
      <c r="A22" s="718"/>
      <c r="B22" s="765"/>
      <c r="C22" s="765"/>
      <c r="D22" s="765"/>
      <c r="E22" s="765"/>
      <c r="F22" s="765"/>
      <c r="G22" s="765"/>
      <c r="H22" s="765"/>
      <c r="I22" s="765"/>
      <c r="J22" s="765"/>
      <c r="K22" s="765"/>
    </row>
    <row r="23" spans="1:11">
      <c r="A23" s="718"/>
      <c r="B23" s="765"/>
      <c r="C23" s="765"/>
      <c r="D23" s="765"/>
      <c r="E23" s="765"/>
      <c r="F23" s="765"/>
      <c r="G23" s="765"/>
      <c r="H23" s="765"/>
      <c r="I23" s="765"/>
      <c r="J23" s="765"/>
      <c r="K23" s="765"/>
    </row>
    <row r="24" spans="1:11">
      <c r="A24" s="718"/>
      <c r="B24" s="765"/>
      <c r="C24" s="765"/>
      <c r="D24" s="765"/>
      <c r="E24" s="765"/>
      <c r="F24" s="765"/>
      <c r="G24" s="765"/>
      <c r="H24" s="765"/>
      <c r="I24" s="765"/>
      <c r="J24" s="765"/>
      <c r="K24" s="765"/>
    </row>
    <row r="26" spans="1:11" ht="13.5" thickBot="1">
      <c r="B26" s="1401" t="s">
        <v>3034</v>
      </c>
      <c r="C26" s="1401" t="s">
        <v>1665</v>
      </c>
      <c r="D26" s="1401" t="s">
        <v>3271</v>
      </c>
      <c r="E26" s="1401"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59" t="s">
        <v>2430</v>
      </c>
      <c r="Q1" s="860" t="s">
        <v>2431</v>
      </c>
      <c r="R1" s="860" t="s">
        <v>2432</v>
      </c>
      <c r="S1" s="860" t="s">
        <v>1213</v>
      </c>
      <c r="T1" s="860" t="s">
        <v>1214</v>
      </c>
      <c r="U1" s="860" t="s">
        <v>1215</v>
      </c>
      <c r="V1" s="860" t="s">
        <v>2139</v>
      </c>
      <c r="W1" s="860" t="s">
        <v>2138</v>
      </c>
      <c r="X1" s="860" t="s">
        <v>767</v>
      </c>
      <c r="Y1" s="860" t="s">
        <v>264</v>
      </c>
      <c r="Z1" s="860" t="s">
        <v>2433</v>
      </c>
      <c r="AA1" s="860" t="s">
        <v>2429</v>
      </c>
      <c r="AB1" s="860" t="s">
        <v>2428</v>
      </c>
      <c r="AC1" s="860" t="s">
        <v>2427</v>
      </c>
      <c r="AD1" s="860" t="s">
        <v>2426</v>
      </c>
      <c r="AE1" s="861" t="s">
        <v>2434</v>
      </c>
      <c r="AG1" s="1331" t="s">
        <v>3086</v>
      </c>
      <c r="AH1" s="860" t="s">
        <v>766</v>
      </c>
      <c r="AI1" s="860" t="s">
        <v>764</v>
      </c>
      <c r="AJ1" s="860" t="s">
        <v>772</v>
      </c>
      <c r="AK1" s="860" t="s">
        <v>2139</v>
      </c>
      <c r="AL1" s="860" t="s">
        <v>2138</v>
      </c>
      <c r="AM1" s="860" t="s">
        <v>767</v>
      </c>
      <c r="AN1" s="860" t="s">
        <v>1216</v>
      </c>
      <c r="AO1" s="860" t="s">
        <v>2143</v>
      </c>
      <c r="AP1" s="860" t="s">
        <v>2429</v>
      </c>
      <c r="AQ1" s="860" t="s">
        <v>2428</v>
      </c>
      <c r="AR1" s="860" t="s">
        <v>2427</v>
      </c>
      <c r="AS1" s="860" t="s">
        <v>2426</v>
      </c>
      <c r="AT1" s="860" t="s">
        <v>1217</v>
      </c>
      <c r="AU1" s="861" t="s">
        <v>1218</v>
      </c>
    </row>
    <row r="2" spans="1:47">
      <c r="B2" s="120" t="s">
        <v>2435</v>
      </c>
      <c r="C2" s="120" t="s">
        <v>54</v>
      </c>
      <c r="D2" s="120" t="s">
        <v>55</v>
      </c>
      <c r="E2" s="120" t="s">
        <v>56</v>
      </c>
      <c r="AG2" s="1328" t="s">
        <v>1065</v>
      </c>
      <c r="AH2" s="765"/>
      <c r="AI2" s="765"/>
      <c r="AJ2" s="765"/>
      <c r="AK2" s="765"/>
      <c r="AL2" s="765"/>
      <c r="AM2" s="765">
        <v>4</v>
      </c>
      <c r="AN2" s="765"/>
      <c r="AO2" s="765"/>
      <c r="AP2" s="765"/>
      <c r="AQ2" s="765"/>
      <c r="AR2" s="765"/>
      <c r="AS2" s="765"/>
      <c r="AT2" s="765"/>
      <c r="AU2" s="1329"/>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28" t="s">
        <v>1464</v>
      </c>
      <c r="AH3" s="765"/>
      <c r="AI3" s="765"/>
      <c r="AJ3" s="765"/>
      <c r="AK3" s="765"/>
      <c r="AL3" s="765"/>
      <c r="AM3" s="765">
        <v>6</v>
      </c>
      <c r="AN3" s="765"/>
      <c r="AO3" s="765"/>
      <c r="AP3" s="765"/>
      <c r="AQ3" s="765"/>
      <c r="AR3" s="765"/>
      <c r="AS3" s="765"/>
      <c r="AT3" s="765"/>
      <c r="AU3" s="1329"/>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28" t="s">
        <v>1064</v>
      </c>
      <c r="AH4" s="765"/>
      <c r="AI4" s="765"/>
      <c r="AJ4" s="765"/>
      <c r="AK4" s="765"/>
      <c r="AL4" s="765"/>
      <c r="AM4" s="765">
        <v>8</v>
      </c>
      <c r="AN4" s="765"/>
      <c r="AO4" s="765"/>
      <c r="AP4" s="765"/>
      <c r="AQ4" s="765"/>
      <c r="AR4" s="765"/>
      <c r="AS4" s="765"/>
      <c r="AT4" s="765"/>
      <c r="AU4" s="1329"/>
    </row>
    <row r="5" spans="1:47">
      <c r="B5" s="120">
        <f>'Gear &amp; Buffs'!R14</f>
        <v>0</v>
      </c>
      <c r="C5" s="217" t="b">
        <f>MID(B5,1,1)="1"</f>
        <v>0</v>
      </c>
      <c r="D5" s="217" t="b">
        <f>MID(B5,3,1)="1"</f>
        <v>0</v>
      </c>
      <c r="E5" s="217" t="b">
        <f>MID(B5,5,1)="1"</f>
        <v>0</v>
      </c>
      <c r="G5" s="120">
        <f>IF($D3=1, OR(AND(MID($C3,1,1)="R", $C4), AND(MID($C3,1,1)="Y", $D4), AND(MID($C3,1,1)="B", $E4)),0)</f>
        <v>0</v>
      </c>
      <c r="N5" s="120" t="b">
        <f>OR(G5)</f>
        <v>0</v>
      </c>
      <c r="AG5" s="1328" t="s">
        <v>13</v>
      </c>
      <c r="AH5" s="765"/>
      <c r="AI5" s="765"/>
      <c r="AJ5" s="765"/>
      <c r="AK5" s="765"/>
      <c r="AL5" s="765"/>
      <c r="AM5" s="765"/>
      <c r="AN5" s="765"/>
      <c r="AO5" s="765"/>
      <c r="AP5" s="765"/>
      <c r="AQ5" s="765"/>
      <c r="AR5" s="765"/>
      <c r="AS5" s="765"/>
      <c r="AT5" s="765">
        <v>4</v>
      </c>
      <c r="AU5" s="1329"/>
    </row>
    <row r="6" spans="1:47">
      <c r="B6" s="120">
        <f>'Gear &amp; Buffs'!R15</f>
        <v>0</v>
      </c>
      <c r="C6" s="217" t="b">
        <f>MID(B6,1,1)="1"</f>
        <v>0</v>
      </c>
      <c r="D6" s="217" t="b">
        <f>MID(B6,3,1)="1"</f>
        <v>0</v>
      </c>
      <c r="E6" s="217" t="b">
        <f>MID(B6,5,1)="1"</f>
        <v>0</v>
      </c>
      <c r="AG6" s="1328" t="s">
        <v>1021</v>
      </c>
      <c r="AH6" s="765"/>
      <c r="AI6" s="765"/>
      <c r="AJ6" s="765"/>
      <c r="AK6" s="765"/>
      <c r="AL6" s="765">
        <v>2</v>
      </c>
      <c r="AM6" s="765"/>
      <c r="AN6" s="765"/>
      <c r="AO6" s="765"/>
      <c r="AP6" s="765"/>
      <c r="AQ6" s="765"/>
      <c r="AR6" s="765"/>
      <c r="AS6" s="765"/>
      <c r="AT6" s="765"/>
      <c r="AU6" s="1329"/>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28" t="s">
        <v>1446</v>
      </c>
      <c r="AH7" s="765"/>
      <c r="AI7" s="765"/>
      <c r="AJ7" s="765"/>
      <c r="AK7" s="765"/>
      <c r="AL7" s="765">
        <v>3</v>
      </c>
      <c r="AM7" s="765"/>
      <c r="AN7" s="765"/>
      <c r="AO7" s="765"/>
      <c r="AP7" s="765"/>
      <c r="AQ7" s="765"/>
      <c r="AR7" s="765"/>
      <c r="AS7" s="765"/>
      <c r="AT7" s="765"/>
      <c r="AU7" s="1329"/>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28" t="s">
        <v>2019</v>
      </c>
      <c r="AH8" s="765"/>
      <c r="AI8" s="765"/>
      <c r="AJ8" s="765"/>
      <c r="AK8" s="765"/>
      <c r="AL8" s="765">
        <v>4</v>
      </c>
      <c r="AM8" s="765"/>
      <c r="AN8" s="765"/>
      <c r="AO8" s="765"/>
      <c r="AP8" s="765"/>
      <c r="AQ8" s="765"/>
      <c r="AR8" s="765"/>
      <c r="AS8" s="765"/>
      <c r="AT8" s="765"/>
      <c r="AU8" s="1329"/>
    </row>
    <row r="9" spans="1:47">
      <c r="B9" s="120">
        <f>'Gear &amp; Buffs'!R20</f>
        <v>0</v>
      </c>
      <c r="C9" s="217" t="b">
        <f>MID(B9,1,1)="1"</f>
        <v>0</v>
      </c>
      <c r="D9" s="217" t="b">
        <f>MID(B9,3,1)="1"</f>
        <v>0</v>
      </c>
      <c r="E9" s="217" t="b">
        <f>MID(B9,5,1)="1"</f>
        <v>0</v>
      </c>
      <c r="G9" s="120">
        <f>IF($D7=1, OR(AND(MID($C7,1,1)="R", $C8), AND(MID($C7,1,1)="Y", $D8), AND(MID($C7,1,1)="B", $E8)),0)</f>
        <v>0</v>
      </c>
      <c r="N9" s="120" t="b">
        <f>OR(G9)</f>
        <v>0</v>
      </c>
      <c r="AG9" s="1328" t="s">
        <v>1462</v>
      </c>
      <c r="AH9" s="765"/>
      <c r="AI9" s="765">
        <v>2</v>
      </c>
      <c r="AJ9" s="765"/>
      <c r="AK9" s="765"/>
      <c r="AL9" s="765"/>
      <c r="AM9" s="765"/>
      <c r="AN9" s="765"/>
      <c r="AO9" s="765"/>
      <c r="AP9" s="765"/>
      <c r="AQ9" s="765"/>
      <c r="AR9" s="765"/>
      <c r="AS9" s="765"/>
      <c r="AT9" s="765"/>
      <c r="AU9" s="1329"/>
    </row>
    <row r="10" spans="1:47">
      <c r="B10" s="120">
        <f>'Gear &amp; Buffs'!R21</f>
        <v>0</v>
      </c>
      <c r="C10" s="217" t="b">
        <f>MID(B10,1,1)="1"</f>
        <v>0</v>
      </c>
      <c r="D10" s="217" t="b">
        <f>MID(B10,3,1)="1"</f>
        <v>0</v>
      </c>
      <c r="E10" s="217" t="b">
        <f>MID(B10,5,1)="1"</f>
        <v>0</v>
      </c>
      <c r="AG10" s="1328" t="s">
        <v>22</v>
      </c>
      <c r="AH10" s="765"/>
      <c r="AI10" s="765">
        <v>3</v>
      </c>
      <c r="AJ10" s="765"/>
      <c r="AK10" s="765"/>
      <c r="AL10" s="765"/>
      <c r="AM10" s="765"/>
      <c r="AN10" s="765"/>
      <c r="AO10" s="765"/>
      <c r="AP10" s="765"/>
      <c r="AQ10" s="765"/>
      <c r="AR10" s="765"/>
      <c r="AS10" s="765"/>
      <c r="AT10" s="765"/>
      <c r="AU10" s="1329"/>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28" t="s">
        <v>1055</v>
      </c>
      <c r="AH11" s="765"/>
      <c r="AI11" s="765">
        <v>4</v>
      </c>
      <c r="AJ11" s="765"/>
      <c r="AK11" s="765"/>
      <c r="AL11" s="765"/>
      <c r="AM11" s="765"/>
      <c r="AN11" s="765"/>
      <c r="AO11" s="765"/>
      <c r="AP11" s="765"/>
      <c r="AQ11" s="765"/>
      <c r="AR11" s="765"/>
      <c r="AS11" s="765"/>
      <c r="AT11" s="765"/>
      <c r="AU11" s="1329"/>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28" t="s">
        <v>1472</v>
      </c>
      <c r="AH12" s="765"/>
      <c r="AI12" s="765"/>
      <c r="AJ12" s="765"/>
      <c r="AK12" s="765">
        <v>2</v>
      </c>
      <c r="AL12" s="765"/>
      <c r="AM12" s="765"/>
      <c r="AN12" s="765"/>
      <c r="AO12" s="765"/>
      <c r="AP12" s="765"/>
      <c r="AQ12" s="765"/>
      <c r="AR12" s="765"/>
      <c r="AS12" s="765"/>
      <c r="AT12" s="765"/>
      <c r="AU12" s="1329"/>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28" t="s">
        <v>1448</v>
      </c>
      <c r="AH13" s="765"/>
      <c r="AI13" s="765"/>
      <c r="AJ13" s="765"/>
      <c r="AK13" s="765">
        <v>3</v>
      </c>
      <c r="AL13" s="765"/>
      <c r="AM13" s="765"/>
      <c r="AN13" s="765"/>
      <c r="AO13" s="765"/>
      <c r="AP13" s="765"/>
      <c r="AQ13" s="765"/>
      <c r="AR13" s="765"/>
      <c r="AS13" s="765"/>
      <c r="AT13" s="765"/>
      <c r="AU13" s="1329"/>
    </row>
    <row r="14" spans="1:47">
      <c r="B14" s="120">
        <f>'Gear &amp; Buffs'!R30</f>
        <v>0</v>
      </c>
      <c r="C14" s="217" t="b">
        <f>MID(B14,1,1)="1"</f>
        <v>0</v>
      </c>
      <c r="D14" s="217" t="b">
        <f>MID(B14,3,1)="1"</f>
        <v>0</v>
      </c>
      <c r="E14" s="217" t="b">
        <f>MID(B14,5,1)="1"</f>
        <v>0</v>
      </c>
      <c r="AG14" s="1328" t="s">
        <v>816</v>
      </c>
      <c r="AH14" s="765"/>
      <c r="AI14" s="765"/>
      <c r="AJ14" s="765"/>
      <c r="AK14" s="765">
        <v>4</v>
      </c>
      <c r="AL14" s="765"/>
      <c r="AM14" s="765"/>
      <c r="AN14" s="765"/>
      <c r="AO14" s="765"/>
      <c r="AP14" s="765"/>
      <c r="AQ14" s="765"/>
      <c r="AR14" s="765"/>
      <c r="AS14" s="765"/>
      <c r="AT14" s="765"/>
      <c r="AU14" s="1329"/>
    </row>
    <row r="15" spans="1:47">
      <c r="B15" s="120">
        <f>'Gear &amp; Buffs'!R31</f>
        <v>0</v>
      </c>
      <c r="C15" s="217" t="b">
        <f>MID(B15,1,1)="1"</f>
        <v>0</v>
      </c>
      <c r="D15" s="217" t="b">
        <f>MID(B15,3,1)="1"</f>
        <v>0</v>
      </c>
      <c r="E15" s="217" t="b">
        <f>MID(B15,5,1)="1"</f>
        <v>0</v>
      </c>
      <c r="AG15" s="1328" t="s">
        <v>2425</v>
      </c>
      <c r="AH15" s="765">
        <v>2</v>
      </c>
      <c r="AI15" s="765"/>
      <c r="AJ15" s="765"/>
      <c r="AK15" s="765"/>
      <c r="AL15" s="765"/>
      <c r="AM15" s="765"/>
      <c r="AN15" s="765"/>
      <c r="AO15" s="765"/>
      <c r="AP15" s="765"/>
      <c r="AQ15" s="765"/>
      <c r="AR15" s="765"/>
      <c r="AS15" s="765"/>
      <c r="AT15" s="765"/>
      <c r="AU15" s="1329"/>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28" t="s">
        <v>2424</v>
      </c>
      <c r="AH16" s="765">
        <v>4</v>
      </c>
      <c r="AI16" s="765"/>
      <c r="AJ16" s="765"/>
      <c r="AK16" s="765"/>
      <c r="AL16" s="765"/>
      <c r="AM16" s="765"/>
      <c r="AN16" s="765"/>
      <c r="AO16" s="765"/>
      <c r="AP16" s="765"/>
      <c r="AQ16" s="765"/>
      <c r="AR16" s="765"/>
      <c r="AS16" s="765"/>
      <c r="AT16" s="765"/>
      <c r="AU16" s="1329"/>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28" t="s">
        <v>1337</v>
      </c>
      <c r="AH17" s="765"/>
      <c r="AI17" s="765"/>
      <c r="AJ17" s="765">
        <v>3</v>
      </c>
      <c r="AK17" s="765"/>
      <c r="AL17" s="765"/>
      <c r="AM17" s="765"/>
      <c r="AN17" s="765"/>
      <c r="AO17" s="765"/>
      <c r="AP17" s="765"/>
      <c r="AQ17" s="765"/>
      <c r="AR17" s="765"/>
      <c r="AS17" s="765"/>
      <c r="AT17" s="765"/>
      <c r="AU17" s="1329"/>
    </row>
    <row r="18" spans="1:47">
      <c r="B18" s="120">
        <f>'Gear &amp; Buffs'!R34</f>
        <v>0</v>
      </c>
      <c r="C18" s="217" t="b">
        <f>MID(B18,1,1)="1"</f>
        <v>0</v>
      </c>
      <c r="D18" s="217" t="b">
        <f>MID(B18,3,1)="1"</f>
        <v>0</v>
      </c>
      <c r="E18" s="217" t="b">
        <f>MID(B18,5,1)="1"</f>
        <v>0</v>
      </c>
      <c r="AG18" s="1328" t="s">
        <v>1458</v>
      </c>
      <c r="AH18" s="765"/>
      <c r="AI18" s="765"/>
      <c r="AJ18" s="765">
        <v>4</v>
      </c>
      <c r="AK18" s="765"/>
      <c r="AL18" s="765"/>
      <c r="AM18" s="765"/>
      <c r="AN18" s="765"/>
      <c r="AO18" s="765"/>
      <c r="AP18" s="765"/>
      <c r="AQ18" s="765"/>
      <c r="AR18" s="765"/>
      <c r="AS18" s="765"/>
      <c r="AT18" s="765"/>
      <c r="AU18" s="1329"/>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28" t="s">
        <v>1051</v>
      </c>
      <c r="AH19" s="765"/>
      <c r="AI19" s="765"/>
      <c r="AJ19" s="765">
        <v>6</v>
      </c>
      <c r="AK19" s="765"/>
      <c r="AL19" s="765"/>
      <c r="AM19" s="765"/>
      <c r="AN19" s="765"/>
      <c r="AO19" s="765"/>
      <c r="AP19" s="765"/>
      <c r="AQ19" s="765"/>
      <c r="AR19" s="765"/>
      <c r="AS19" s="765"/>
      <c r="AT19" s="765"/>
      <c r="AU19" s="1329"/>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28" t="s">
        <v>1069</v>
      </c>
      <c r="AH20" s="765"/>
      <c r="AI20" s="765"/>
      <c r="AJ20" s="765"/>
      <c r="AK20" s="765"/>
      <c r="AL20" s="765"/>
      <c r="AM20" s="765"/>
      <c r="AN20" s="765">
        <v>2</v>
      </c>
      <c r="AO20" s="765"/>
      <c r="AP20" s="765"/>
      <c r="AQ20" s="765"/>
      <c r="AR20" s="765"/>
      <c r="AS20" s="765"/>
      <c r="AT20" s="765"/>
      <c r="AU20" s="1329"/>
    </row>
    <row r="21" spans="1:47">
      <c r="B21" s="120" t="str">
        <f>'Gear &amp; Buffs'!R38</f>
        <v>0 0 1</v>
      </c>
      <c r="C21" s="217" t="b">
        <f>MID(B21,1,1)="1"</f>
        <v>0</v>
      </c>
      <c r="D21" s="217" t="b">
        <f>MID(B21,3,1)="1"</f>
        <v>0</v>
      </c>
      <c r="E21" s="217" t="b">
        <f>MID(B21,5,1)="1"</f>
        <v>1</v>
      </c>
      <c r="G21" s="120">
        <f>IF($D19=1, OR(AND(MID($C19,1,1)="R", $C20), AND(MID($C19,1,1)="Y", $D20), AND(MID($C19,1,1)="B", $E20)),0)</f>
        <v>0</v>
      </c>
      <c r="AG21" s="1328" t="s">
        <v>1451</v>
      </c>
      <c r="AH21" s="765"/>
      <c r="AI21" s="765"/>
      <c r="AJ21" s="765"/>
      <c r="AK21" s="765"/>
      <c r="AL21" s="765"/>
      <c r="AM21" s="765"/>
      <c r="AN21" s="765">
        <v>3</v>
      </c>
      <c r="AO21" s="765"/>
      <c r="AP21" s="765"/>
      <c r="AQ21" s="765"/>
      <c r="AR21" s="765"/>
      <c r="AS21" s="765"/>
      <c r="AT21" s="765"/>
      <c r="AU21" s="1329"/>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28" t="s">
        <v>1068</v>
      </c>
      <c r="AH22" s="765"/>
      <c r="AI22" s="765"/>
      <c r="AJ22" s="765"/>
      <c r="AK22" s="765"/>
      <c r="AL22" s="765"/>
      <c r="AM22" s="765"/>
      <c r="AN22" s="765">
        <v>4</v>
      </c>
      <c r="AO22" s="765"/>
      <c r="AP22" s="765"/>
      <c r="AQ22" s="765"/>
      <c r="AR22" s="765"/>
      <c r="AS22" s="765"/>
      <c r="AT22" s="765"/>
      <c r="AU22" s="1329"/>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28" t="s">
        <v>1302</v>
      </c>
      <c r="AH23" s="765"/>
      <c r="AI23" s="765"/>
      <c r="AJ23" s="765"/>
      <c r="AK23" s="765"/>
      <c r="AL23" s="765"/>
      <c r="AM23" s="765"/>
      <c r="AN23" s="765"/>
      <c r="AO23" s="765">
        <v>2</v>
      </c>
      <c r="AP23" s="765"/>
      <c r="AQ23" s="765"/>
      <c r="AR23" s="765"/>
      <c r="AS23" s="765"/>
      <c r="AT23" s="765"/>
      <c r="AU23" s="1329"/>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28" t="s">
        <v>1454</v>
      </c>
      <c r="AH24" s="765"/>
      <c r="AI24" s="765"/>
      <c r="AJ24" s="765"/>
      <c r="AK24" s="765"/>
      <c r="AL24" s="765"/>
      <c r="AM24" s="765"/>
      <c r="AN24" s="765"/>
      <c r="AO24" s="765">
        <v>3</v>
      </c>
      <c r="AP24" s="765"/>
      <c r="AQ24" s="765"/>
      <c r="AR24" s="765"/>
      <c r="AS24" s="765"/>
      <c r="AT24" s="765"/>
      <c r="AU24" s="1329"/>
    </row>
    <row r="25" spans="1:47">
      <c r="B25" s="120" t="str">
        <f>'Gear &amp; Buffs'!R46</f>
        <v>1 0 1</v>
      </c>
      <c r="C25" s="217" t="b">
        <f>MID(B25,1,1)="1"</f>
        <v>1</v>
      </c>
      <c r="D25" s="217" t="b">
        <f>MID(B25,3,1)="1"</f>
        <v>0</v>
      </c>
      <c r="E25" s="217" t="b">
        <f>MID(B25,5,1)="1"</f>
        <v>1</v>
      </c>
      <c r="AG25" s="1328" t="s">
        <v>1071</v>
      </c>
      <c r="AH25" s="765"/>
      <c r="AI25" s="765"/>
      <c r="AJ25" s="765"/>
      <c r="AK25" s="765"/>
      <c r="AL25" s="765"/>
      <c r="AM25" s="765"/>
      <c r="AN25" s="765"/>
      <c r="AO25" s="765">
        <v>4</v>
      </c>
      <c r="AP25" s="765"/>
      <c r="AQ25" s="765"/>
      <c r="AR25" s="765"/>
      <c r="AS25" s="765"/>
      <c r="AT25" s="765"/>
      <c r="AU25" s="1329"/>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28"/>
      <c r="AH26" s="765"/>
      <c r="AI26" s="765"/>
      <c r="AJ26" s="765"/>
      <c r="AK26" s="765"/>
      <c r="AL26" s="765"/>
      <c r="AM26" s="765"/>
      <c r="AN26" s="765"/>
      <c r="AO26" s="765"/>
      <c r="AP26" s="765"/>
      <c r="AQ26" s="765"/>
      <c r="AR26" s="765"/>
      <c r="AS26" s="765"/>
      <c r="AT26" s="765"/>
      <c r="AU26" s="1329"/>
    </row>
    <row r="27" spans="1:47">
      <c r="B27" s="120" t="str">
        <f>'Gear &amp; Buffs'!R49</f>
        <v>0 0 1</v>
      </c>
      <c r="C27" s="217" t="b">
        <f>MID(B27,1,1)="1"</f>
        <v>0</v>
      </c>
      <c r="D27" s="217" t="b">
        <f>MID(B27,3,1)="1"</f>
        <v>0</v>
      </c>
      <c r="E27" s="217" t="b">
        <f>MID(B27,5,1)="1"</f>
        <v>1</v>
      </c>
      <c r="AG27" s="1328">
        <v>0</v>
      </c>
      <c r="AH27" s="765"/>
      <c r="AI27" s="765"/>
      <c r="AJ27" s="765"/>
      <c r="AK27" s="765"/>
      <c r="AL27" s="765"/>
      <c r="AM27" s="765"/>
      <c r="AN27" s="765"/>
      <c r="AO27" s="765"/>
      <c r="AP27" s="765"/>
      <c r="AQ27" s="765"/>
      <c r="AR27" s="765"/>
      <c r="AS27" s="765"/>
      <c r="AT27" s="765"/>
      <c r="AU27" s="1329"/>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0" t="s">
        <v>1688</v>
      </c>
      <c r="AH28" s="854"/>
      <c r="AI28" s="854"/>
      <c r="AJ28" s="854"/>
      <c r="AK28" s="854"/>
      <c r="AL28" s="854"/>
      <c r="AM28" s="854"/>
      <c r="AN28" s="854"/>
      <c r="AO28" s="854"/>
      <c r="AP28" s="854"/>
      <c r="AQ28" s="854"/>
      <c r="AR28" s="854"/>
      <c r="AS28" s="854"/>
      <c r="AT28" s="854"/>
      <c r="AU28" s="855"/>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6" t="s">
        <v>1213</v>
      </c>
      <c r="T47" s="857" t="s">
        <v>1214</v>
      </c>
      <c r="U47" s="857" t="s">
        <v>1215</v>
      </c>
      <c r="V47" s="857" t="s">
        <v>2139</v>
      </c>
      <c r="W47" s="857" t="s">
        <v>2138</v>
      </c>
      <c r="X47" s="857" t="s">
        <v>767</v>
      </c>
      <c r="Y47" s="857" t="s">
        <v>264</v>
      </c>
      <c r="Z47" s="857" t="s">
        <v>2433</v>
      </c>
      <c r="AA47" s="857" t="s">
        <v>2429</v>
      </c>
      <c r="AB47" s="857" t="s">
        <v>2428</v>
      </c>
      <c r="AC47" s="857" t="s">
        <v>2427</v>
      </c>
      <c r="AD47" s="857" t="s">
        <v>2426</v>
      </c>
      <c r="AE47" s="858" t="s">
        <v>2434</v>
      </c>
    </row>
    <row r="48" spans="1:31" ht="12" thickBot="1">
      <c r="S48" s="853">
        <f t="shared" ref="S48:AE48" si="0">SUM(S3:S43)</f>
        <v>0</v>
      </c>
      <c r="T48" s="854">
        <f t="shared" si="0"/>
        <v>8</v>
      </c>
      <c r="U48" s="854">
        <f t="shared" si="0"/>
        <v>0</v>
      </c>
      <c r="V48" s="854">
        <f t="shared" si="0"/>
        <v>0</v>
      </c>
      <c r="W48" s="854">
        <f t="shared" si="0"/>
        <v>3</v>
      </c>
      <c r="X48" s="854">
        <f t="shared" si="0"/>
        <v>0</v>
      </c>
      <c r="Y48" s="854">
        <f t="shared" si="0"/>
        <v>0</v>
      </c>
      <c r="Z48" s="854">
        <f t="shared" si="0"/>
        <v>0</v>
      </c>
      <c r="AA48" s="854">
        <f t="shared" si="0"/>
        <v>0</v>
      </c>
      <c r="AB48" s="854">
        <f t="shared" si="0"/>
        <v>0</v>
      </c>
      <c r="AC48" s="854">
        <f t="shared" si="0"/>
        <v>0</v>
      </c>
      <c r="AD48" s="854">
        <f t="shared" si="0"/>
        <v>0</v>
      </c>
      <c r="AE48" s="855">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8" workbookViewId="0">
      <selection activeCell="AA4" sqref="AA4:AA105"/>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6" t="s">
        <v>164</v>
      </c>
      <c r="B1" s="696" t="s">
        <v>1933</v>
      </c>
      <c r="C1" s="696" t="s">
        <v>2795</v>
      </c>
      <c r="D1" s="696" t="s">
        <v>1213</v>
      </c>
      <c r="E1" s="696" t="s">
        <v>1214</v>
      </c>
      <c r="F1" s="696" t="s">
        <v>767</v>
      </c>
      <c r="G1" s="696" t="s">
        <v>2139</v>
      </c>
      <c r="H1" s="696" t="s">
        <v>2138</v>
      </c>
      <c r="I1" s="696" t="s">
        <v>770</v>
      </c>
      <c r="J1" s="696" t="s">
        <v>1218</v>
      </c>
      <c r="K1" s="696" t="s">
        <v>759</v>
      </c>
      <c r="L1" s="696" t="s">
        <v>1215</v>
      </c>
      <c r="M1" s="696" t="s">
        <v>264</v>
      </c>
      <c r="N1" s="696" t="s">
        <v>1216</v>
      </c>
      <c r="O1" s="696" t="s">
        <v>1286</v>
      </c>
      <c r="P1" s="696" t="s">
        <v>1045</v>
      </c>
      <c r="Q1" s="700" t="s">
        <v>1046</v>
      </c>
      <c r="R1" s="696" t="s">
        <v>265</v>
      </c>
      <c r="S1" s="696" t="s">
        <v>665</v>
      </c>
      <c r="T1" s="696" t="s">
        <v>727</v>
      </c>
      <c r="U1" s="696" t="s">
        <v>796</v>
      </c>
      <c r="V1" s="696" t="s">
        <v>53</v>
      </c>
      <c r="W1" s="696">
        <v>0</v>
      </c>
      <c r="X1" s="696" t="s">
        <v>1692</v>
      </c>
      <c r="Y1" s="696" t="s">
        <v>807</v>
      </c>
      <c r="Z1" s="696" t="s">
        <v>920</v>
      </c>
      <c r="AA1" s="696"/>
      <c r="AB1" s="696"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6"/>
      <c r="AA2" s="734"/>
      <c r="AB2" s="710" t="s">
        <v>1688</v>
      </c>
      <c r="AC2" s="1387"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6"/>
      <c r="AA3" s="734"/>
      <c r="AB3" s="710" t="str">
        <f>" "</f>
        <v xml:space="preserve"> </v>
      </c>
      <c r="AC3" s="1387"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6">
        <f>MAX(W$1:$W3)+1</f>
        <v>1</v>
      </c>
      <c r="X4" s="253">
        <f>SUMPRODUCT(('Gear &amp; Buffs'!$B$10:$B$71=A4)*('Gear &amp; Buffs'!$C$10:$C$71=TRUE))</f>
        <v>0</v>
      </c>
      <c r="Y4" s="255" t="b">
        <f t="shared" ref="Y4:Y86" si="2">IF(AND(T4="unique",X4&gt;0),TRUE,FALSE)</f>
        <v>0</v>
      </c>
      <c r="Z4" s="6" t="b">
        <v>0</v>
      </c>
      <c r="AA4" s="734">
        <v>1</v>
      </c>
      <c r="AB4" s="710" t="str">
        <f>IF(ISNA(INDEX($A$4:$A$105,MATCH(AA4,W$4:W$105,0))), "", INDEX($A$4:$A$105,MATCH(AA4,W$4:W$105,0)))</f>
        <v>(Red Gems)</v>
      </c>
      <c r="AC4" s="1387"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6"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4">
        <v>2</v>
      </c>
      <c r="AB5" s="710" t="str">
        <f t="shared" ref="AB5:AB70" si="3">IF(ISNA(INDEX($A$4:$A$105,MATCH(AA5,W$4:W$105,0))), "", INDEX($A$4:$A$105,MATCH(AA5,W$4:W$105,0)))</f>
        <v>Bright Living Ruby (16ap)</v>
      </c>
      <c r="AC5" s="1387"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6"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4">
        <v>3</v>
      </c>
      <c r="AB6" s="710" t="str">
        <f t="shared" si="3"/>
        <v>Delicate Living Ruby (8agi)</v>
      </c>
      <c r="AC6" s="1387"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6"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4">
        <v>4</v>
      </c>
      <c r="AB7" s="710" t="str">
        <f t="shared" si="3"/>
        <v>Mighty Blood Garnet (14ap) (H)</v>
      </c>
      <c r="AC7" s="1387"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6"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4">
        <v>5</v>
      </c>
      <c r="AB8" s="710" t="str">
        <f t="shared" si="3"/>
        <v>Mighty Blood Garnet (14ap) (A)</v>
      </c>
      <c r="AC8" s="1387"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6">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4">
        <v>6</v>
      </c>
      <c r="AB9" s="710" t="str">
        <f t="shared" si="3"/>
        <v xml:space="preserve"> </v>
      </c>
      <c r="AC9" s="1387"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6"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4">
        <v>7</v>
      </c>
      <c r="AB10" s="710" t="str">
        <f t="shared" si="3"/>
        <v>(Purple Gems)</v>
      </c>
      <c r="AC10" s="1387"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6"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4">
        <v>8</v>
      </c>
      <c r="AB11" s="710" t="str">
        <f t="shared" si="3"/>
        <v>Balanced Nightseye (6sta/8ap)</v>
      </c>
      <c r="AC11" s="1387"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6"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4">
        <v>9</v>
      </c>
      <c r="AB12" s="710" t="str">
        <f t="shared" si="3"/>
        <v>Shifting Nightseye (4agi/6sta)</v>
      </c>
      <c r="AC12" s="1387"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6">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4">
        <v>10</v>
      </c>
      <c r="AB13" s="710" t="str">
        <f t="shared" si="3"/>
        <v xml:space="preserve"> </v>
      </c>
      <c r="AC13" s="1387"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6"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4">
        <v>11</v>
      </c>
      <c r="AB14" s="710" t="str">
        <f t="shared" si="3"/>
        <v>(Blue Gems)</v>
      </c>
      <c r="AC14" s="1387"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6"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4">
        <v>12</v>
      </c>
      <c r="AB15" s="710" t="str">
        <f t="shared" si="3"/>
        <v xml:space="preserve"> </v>
      </c>
      <c r="AC15" s="1387"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6">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4">
        <v>13</v>
      </c>
      <c r="AB16" s="710" t="str">
        <f t="shared" si="3"/>
        <v>(Green Gems)</v>
      </c>
      <c r="AC16" s="1387"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6">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4">
        <v>14</v>
      </c>
      <c r="AB17" s="710" t="str">
        <f t="shared" si="3"/>
        <v>Barbed Deep Peridot (3sta/4crit) (H)</v>
      </c>
      <c r="AC17" s="1387"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6"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4">
        <v>15</v>
      </c>
      <c r="AB18" s="710" t="str">
        <f t="shared" si="3"/>
        <v>Barbed Deep Peridot (3sta/4crit) (A)</v>
      </c>
      <c r="AC18" s="1387"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6"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4">
        <v>16</v>
      </c>
      <c r="AB19" s="710" t="str">
        <f t="shared" si="3"/>
        <v>Jagged Talasite (6sta/4crit)</v>
      </c>
      <c r="AC19" s="1387" t="str">
        <f t="shared" si="1"/>
        <v>Subtle Living Ruby (8dodge)</v>
      </c>
    </row>
    <row r="20" spans="1:29">
      <c r="A20" s="1346"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6">
        <f>MAX(W$1:$W19)+1</f>
        <v>6</v>
      </c>
      <c r="X20" s="120">
        <f>SUMPRODUCT(('Gear &amp; Buffs'!$B$10:$B$71=A20)*('Gear &amp; Buffs'!$C$10:$C$71=TRUE))</f>
        <v>0</v>
      </c>
      <c r="Y20" s="6" t="b">
        <f t="shared" si="2"/>
        <v>0</v>
      </c>
      <c r="Z20" s="6" t="b">
        <v>0</v>
      </c>
      <c r="AA20" s="734">
        <v>17</v>
      </c>
      <c r="AB20" s="710" t="str">
        <f t="shared" si="3"/>
        <v xml:space="preserve"> </v>
      </c>
      <c r="AC20" s="1387"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6">
        <f>MAX(W$1:$W20)+1</f>
        <v>7</v>
      </c>
      <c r="X21" s="258">
        <f>SUMPRODUCT(('Gear &amp; Buffs'!$B$10:$B$71=A21)*('Gear &amp; Buffs'!$C$10:$C$71=TRUE))</f>
        <v>0</v>
      </c>
      <c r="Y21" s="260" t="b">
        <f t="shared" si="2"/>
        <v>0</v>
      </c>
      <c r="Z21" s="6" t="b">
        <v>0</v>
      </c>
      <c r="AA21" s="734">
        <v>18</v>
      </c>
      <c r="AB21" s="710" t="str">
        <f t="shared" si="3"/>
        <v>(Yellow Gems)</v>
      </c>
      <c r="AC21" s="1387"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6">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4">
        <v>19</v>
      </c>
      <c r="AB22" s="710" t="str">
        <f t="shared" si="3"/>
        <v>Rigid Dawnstone (8hit)</v>
      </c>
      <c r="AC22" s="1387"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6"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4">
        <v>20</v>
      </c>
      <c r="AB23" s="710" t="str">
        <f t="shared" si="3"/>
        <v>Smooth Dawnstone (8crit)</v>
      </c>
      <c r="AC23" s="1387"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6"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4">
        <v>21</v>
      </c>
      <c r="AB24" s="710" t="str">
        <f t="shared" si="3"/>
        <v xml:space="preserve"> </v>
      </c>
      <c r="AC24" s="1387"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6"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4">
        <v>22</v>
      </c>
      <c r="AB25" s="710" t="str">
        <f t="shared" si="3"/>
        <v>(Orange Gems)</v>
      </c>
      <c r="AC25" s="1387"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6"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4">
        <v>23</v>
      </c>
      <c r="AB26" s="710" t="str">
        <f t="shared" si="3"/>
        <v>Glinting Noble Topaz (4agi/4hit)</v>
      </c>
      <c r="AC26" s="1387"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6"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4">
        <v>24</v>
      </c>
      <c r="AB27" s="710" t="str">
        <f t="shared" si="3"/>
        <v>Inscribed Noble Topaz (4str/4crit)</v>
      </c>
      <c r="AC27" s="1387"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6"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4">
        <v>25</v>
      </c>
      <c r="AB28" s="710" t="str">
        <f t="shared" si="3"/>
        <v>Wicked Noble Topaz (4crit/8ap)</v>
      </c>
      <c r="AC28" s="1387"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6"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4">
        <v>26</v>
      </c>
      <c r="AB29" s="710" t="str">
        <f t="shared" si="3"/>
        <v/>
      </c>
      <c r="AC29" s="1387"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6">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4">
        <v>27</v>
      </c>
      <c r="AB30" s="710" t="str">
        <f t="shared" si="3"/>
        <v/>
      </c>
      <c r="AC30" s="1387"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6"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4">
        <v>28</v>
      </c>
      <c r="AB31" s="710" t="str">
        <f t="shared" si="3"/>
        <v/>
      </c>
      <c r="AC31" s="1387"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6"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4">
        <v>29</v>
      </c>
      <c r="AB32" s="710" t="str">
        <f t="shared" si="3"/>
        <v/>
      </c>
      <c r="AC32" s="1387"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6"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4">
        <v>30</v>
      </c>
      <c r="AB33" s="710" t="str">
        <f t="shared" si="3"/>
        <v/>
      </c>
      <c r="AC33" s="1387"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6"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4">
        <v>31</v>
      </c>
      <c r="AB34" s="710" t="str">
        <f t="shared" si="3"/>
        <v/>
      </c>
      <c r="AC34" s="1387"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6"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4">
        <v>32</v>
      </c>
      <c r="AB35" s="710" t="str">
        <f t="shared" si="3"/>
        <v/>
      </c>
      <c r="AC35" s="1387"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6">
        <f>MAX(W$1:$W35)+1</f>
        <v>10</v>
      </c>
      <c r="X36" s="120">
        <f>SUMPRODUCT(('Gear &amp; Buffs'!$B$10:$B$71=A36)*('Gear &amp; Buffs'!$C$10:$C$71=TRUE))</f>
        <v>0</v>
      </c>
      <c r="Y36" s="6" t="b">
        <f t="shared" si="2"/>
        <v>0</v>
      </c>
      <c r="Z36" s="6" t="b">
        <v>0</v>
      </c>
      <c r="AA36" s="734">
        <v>33</v>
      </c>
      <c r="AB36" s="710" t="str">
        <f t="shared" si="3"/>
        <v/>
      </c>
      <c r="AC36" s="1387"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6">
        <f>MAX(W$1:$W36)+1</f>
        <v>11</v>
      </c>
      <c r="X37" s="263">
        <f>SUMPRODUCT(('Gear &amp; Buffs'!$B$10:$B$71=A37)*('Gear &amp; Buffs'!$C$10:$C$71=TRUE))</f>
        <v>0</v>
      </c>
      <c r="Y37" s="265" t="b">
        <f t="shared" si="2"/>
        <v>0</v>
      </c>
      <c r="Z37" s="6" t="b">
        <v>0</v>
      </c>
      <c r="AA37" s="734">
        <v>34</v>
      </c>
      <c r="AB37" s="710" t="str">
        <f t="shared" si="3"/>
        <v/>
      </c>
      <c r="AC37" s="1387"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6"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4">
        <v>35</v>
      </c>
      <c r="AB38" s="710" t="str">
        <f t="shared" si="3"/>
        <v/>
      </c>
      <c r="AC38" s="1387"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6"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4">
        <v>36</v>
      </c>
      <c r="AB39" s="710" t="str">
        <f t="shared" si="3"/>
        <v/>
      </c>
      <c r="AC39" s="1387"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6"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4">
        <v>37</v>
      </c>
      <c r="AB40" s="710" t="str">
        <f t="shared" si="3"/>
        <v/>
      </c>
      <c r="AC40" s="1387"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6"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4">
        <v>38</v>
      </c>
      <c r="AB41" s="710" t="str">
        <f t="shared" si="3"/>
        <v/>
      </c>
      <c r="AC41" s="1387"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6"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4">
        <v>39</v>
      </c>
      <c r="AB42" s="710" t="str">
        <f t="shared" si="3"/>
        <v/>
      </c>
      <c r="AC42" s="1387"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6"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4">
        <v>40</v>
      </c>
      <c r="AB43" s="710" t="str">
        <f t="shared" si="3"/>
        <v/>
      </c>
      <c r="AC43" s="1387"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6"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4">
        <v>41</v>
      </c>
      <c r="AB44" s="710" t="str">
        <f t="shared" ref="AB44:AB45" si="5">IF(ISNA(INDEX($A$4:$A$105,MATCH(AA44,W$4:W$105,0))), "", INDEX($A$4:$A$105,MATCH(AA44,W$4:W$105,0)))</f>
        <v/>
      </c>
      <c r="AC44" s="1387"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6"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4">
        <v>42</v>
      </c>
      <c r="AB45" s="710" t="str">
        <f t="shared" si="5"/>
        <v/>
      </c>
      <c r="AC45" s="1387"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6">
        <f>MAX(W$1:$W45)+1</f>
        <v>12</v>
      </c>
      <c r="X46" s="120">
        <f>SUMPRODUCT(('Gear &amp; Buffs'!$B$10:$B$71=A46)*('Gear &amp; Buffs'!$C$10:$C$71=TRUE))</f>
        <v>0</v>
      </c>
      <c r="Y46" s="6" t="b">
        <f t="shared" si="2"/>
        <v>0</v>
      </c>
      <c r="Z46" s="6" t="b">
        <v>0</v>
      </c>
      <c r="AA46" s="734">
        <v>43</v>
      </c>
      <c r="AB46" s="710" t="str">
        <f t="shared" si="3"/>
        <v/>
      </c>
      <c r="AC46" s="1387"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6">
        <f>MAX(W$1:$W46)+1</f>
        <v>13</v>
      </c>
      <c r="X47" s="268">
        <f>SUMPRODUCT(('Gear &amp; Buffs'!$B$10:$B$71=A47)*('Gear &amp; Buffs'!$C$10:$C$71=TRUE))</f>
        <v>0</v>
      </c>
      <c r="Y47" s="270" t="b">
        <f t="shared" si="2"/>
        <v>0</v>
      </c>
      <c r="Z47" s="6" t="b">
        <v>0</v>
      </c>
      <c r="AA47" s="734">
        <v>44</v>
      </c>
      <c r="AB47" s="710" t="str">
        <f t="shared" si="3"/>
        <v/>
      </c>
      <c r="AC47" s="1387"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6">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4">
        <v>45</v>
      </c>
      <c r="AB48" s="710" t="str">
        <f t="shared" si="3"/>
        <v/>
      </c>
      <c r="AC48" s="1387"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6">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4">
        <v>46</v>
      </c>
      <c r="AB49" s="710" t="str">
        <f t="shared" si="3"/>
        <v/>
      </c>
      <c r="AC49" s="1387"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6"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4">
        <v>47</v>
      </c>
      <c r="AB50" s="710" t="str">
        <f t="shared" si="3"/>
        <v/>
      </c>
      <c r="AC50" s="1387"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6"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4">
        <v>48</v>
      </c>
      <c r="AB51" s="710" t="str">
        <f t="shared" si="3"/>
        <v/>
      </c>
      <c r="AC51" s="1387"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6"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4">
        <v>49</v>
      </c>
      <c r="AB52" s="710" t="str">
        <f t="shared" si="3"/>
        <v/>
      </c>
      <c r="AC52" s="1387"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6"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4">
        <v>50</v>
      </c>
      <c r="AB53" s="710" t="str">
        <f t="shared" si="3"/>
        <v/>
      </c>
      <c r="AC53" s="1387"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6"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4">
        <v>51</v>
      </c>
      <c r="AB54" s="710" t="str">
        <f t="shared" si="3"/>
        <v/>
      </c>
      <c r="AC54" s="1387"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6"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4">
        <v>52</v>
      </c>
      <c r="AB55" s="710" t="str">
        <f t="shared" si="3"/>
        <v/>
      </c>
      <c r="AC55" s="1387"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6"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4">
        <v>53</v>
      </c>
      <c r="AB56" s="710" t="str">
        <f t="shared" si="3"/>
        <v/>
      </c>
      <c r="AC56" s="1387"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6">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4">
        <v>54</v>
      </c>
      <c r="AB57" s="710" t="str">
        <f t="shared" si="3"/>
        <v/>
      </c>
      <c r="AC57" s="1387"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6"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4">
        <v>55</v>
      </c>
      <c r="AB58" s="710" t="str">
        <f t="shared" si="3"/>
        <v/>
      </c>
      <c r="AC58" s="1387"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6"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4">
        <v>56</v>
      </c>
      <c r="AB59" s="710" t="str">
        <f t="shared" si="3"/>
        <v/>
      </c>
      <c r="AC59" s="1387"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6"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4">
        <v>57</v>
      </c>
      <c r="AB60" s="710" t="str">
        <f t="shared" si="3"/>
        <v/>
      </c>
      <c r="AC60" s="1387"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6">
        <f>MAX(W$1:$W60)+1</f>
        <v>17</v>
      </c>
      <c r="X61" s="120">
        <f>SUMPRODUCT(('Gear &amp; Buffs'!$B$10:$B$71=A61)*('Gear &amp; Buffs'!$C$10:$C$71=TRUE))</f>
        <v>0</v>
      </c>
      <c r="Y61" s="6" t="b">
        <f t="shared" si="2"/>
        <v>0</v>
      </c>
      <c r="Z61" s="6" t="b">
        <v>0</v>
      </c>
      <c r="AA61" s="734">
        <v>58</v>
      </c>
      <c r="AB61" s="710" t="str">
        <f t="shared" si="3"/>
        <v/>
      </c>
      <c r="AC61" s="1387"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6">
        <f>MAX(W$1:$W61)+1</f>
        <v>18</v>
      </c>
      <c r="X62" s="273">
        <f>SUMPRODUCT(('Gear &amp; Buffs'!$B$10:$B$71=A62)*('Gear &amp; Buffs'!$C$10:$C$71=TRUE))</f>
        <v>0</v>
      </c>
      <c r="Y62" s="275" t="b">
        <f t="shared" si="2"/>
        <v>0</v>
      </c>
      <c r="Z62" s="6" t="b">
        <v>0</v>
      </c>
      <c r="AA62" s="734">
        <v>59</v>
      </c>
      <c r="AB62" s="710" t="str">
        <f t="shared" si="3"/>
        <v/>
      </c>
      <c r="AC62" s="1387"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6"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4">
        <v>60</v>
      </c>
      <c r="AB63" s="710" t="str">
        <f t="shared" si="3"/>
        <v/>
      </c>
      <c r="AC63" s="1387"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6"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4">
        <v>61</v>
      </c>
      <c r="AB64" s="710" t="str">
        <f t="shared" si="3"/>
        <v/>
      </c>
      <c r="AC64" s="1387"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6"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4">
        <v>62</v>
      </c>
      <c r="AB65" s="710" t="str">
        <f t="shared" si="3"/>
        <v/>
      </c>
      <c r="AC65" s="1387"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6">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4">
        <v>63</v>
      </c>
      <c r="AB66" s="710" t="str">
        <f t="shared" si="3"/>
        <v/>
      </c>
      <c r="AC66" s="1387"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6"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4">
        <v>64</v>
      </c>
      <c r="AB67" s="710" t="str">
        <f t="shared" si="3"/>
        <v/>
      </c>
      <c r="AC67" s="1387"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6"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4">
        <v>65</v>
      </c>
      <c r="AB68" s="710" t="str">
        <f t="shared" si="3"/>
        <v/>
      </c>
      <c r="AC68" s="1387"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6">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4">
        <v>66</v>
      </c>
      <c r="AB69" s="710" t="str">
        <f t="shared" si="3"/>
        <v/>
      </c>
      <c r="AC69" s="1387"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6"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4">
        <v>67</v>
      </c>
      <c r="AB70" s="710" t="str">
        <f t="shared" si="3"/>
        <v/>
      </c>
      <c r="AC70" s="1387"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6"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4">
        <v>68</v>
      </c>
      <c r="AB71" s="710" t="str">
        <f t="shared" ref="AB71:AB105" si="7">IF(ISNA(INDEX($A$4:$A$105,MATCH(AA71,W$4:W$105,0))), "", INDEX($A$4:$A$105,MATCH(AA71,W$4:W$105,0)))</f>
        <v/>
      </c>
      <c r="AC71" s="1387"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6"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4">
        <v>69</v>
      </c>
      <c r="AB72" s="710" t="str">
        <f t="shared" si="7"/>
        <v/>
      </c>
      <c r="AC72" s="1387"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6"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4">
        <v>70</v>
      </c>
      <c r="AB73" s="710" t="str">
        <f t="shared" si="7"/>
        <v/>
      </c>
      <c r="AC73" s="1387"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6"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4">
        <v>71</v>
      </c>
      <c r="AB74" s="710" t="str">
        <f t="shared" si="7"/>
        <v/>
      </c>
      <c r="AC74" s="1387"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6"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4">
        <v>72</v>
      </c>
      <c r="AB75" s="710" t="str">
        <f t="shared" si="7"/>
        <v/>
      </c>
      <c r="AC75" s="1387"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6"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4">
        <v>73</v>
      </c>
      <c r="AB76" s="710" t="str">
        <f t="shared" si="7"/>
        <v/>
      </c>
      <c r="AC76" s="1387"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6"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4">
        <v>74</v>
      </c>
      <c r="AB77" s="710" t="str">
        <f t="shared" si="7"/>
        <v/>
      </c>
      <c r="AC77" s="1387"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6">
        <f>MAX(W$1:$W77)+1</f>
        <v>21</v>
      </c>
      <c r="X78" s="120">
        <f>SUMPRODUCT(('Gear &amp; Buffs'!$B$10:$B$71=A78)*('Gear &amp; Buffs'!$C$10:$C$71=TRUE))</f>
        <v>0</v>
      </c>
      <c r="Y78" s="6" t="b">
        <f t="shared" si="2"/>
        <v>0</v>
      </c>
      <c r="Z78" s="6" t="b">
        <v>0</v>
      </c>
      <c r="AA78" s="734">
        <v>75</v>
      </c>
      <c r="AB78" s="710" t="str">
        <f t="shared" si="7"/>
        <v/>
      </c>
      <c r="AC78" s="1387"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6">
        <f>MAX(W$1:$W78)+1</f>
        <v>22</v>
      </c>
      <c r="X79" s="278">
        <f>SUMPRODUCT(('Gear &amp; Buffs'!$B$10:$B$71=A79)*('Gear &amp; Buffs'!$C$10:$C$71=TRUE))</f>
        <v>0</v>
      </c>
      <c r="Y79" s="280" t="b">
        <f t="shared" si="2"/>
        <v>0</v>
      </c>
      <c r="Z79" s="6" t="b">
        <v>0</v>
      </c>
      <c r="AA79" s="734">
        <v>76</v>
      </c>
      <c r="AB79" s="710" t="str">
        <f t="shared" si="7"/>
        <v/>
      </c>
      <c r="AC79" s="1387"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6"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4">
        <v>77</v>
      </c>
      <c r="AB80" s="710" t="str">
        <f t="shared" si="7"/>
        <v/>
      </c>
      <c r="AC80" s="1387"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6"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4">
        <v>78</v>
      </c>
      <c r="AB81" s="710" t="str">
        <f t="shared" si="7"/>
        <v/>
      </c>
      <c r="AC81" s="1387"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6"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4">
        <v>79</v>
      </c>
      <c r="AB82" s="710" t="str">
        <f t="shared" si="7"/>
        <v/>
      </c>
      <c r="AC82" s="1387"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6"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4">
        <v>80</v>
      </c>
      <c r="AB83" s="710" t="str">
        <f t="shared" si="7"/>
        <v/>
      </c>
      <c r="AC83" s="1387"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6"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4">
        <v>81</v>
      </c>
      <c r="AB84" s="710" t="str">
        <f t="shared" si="7"/>
        <v/>
      </c>
      <c r="AC84" s="1387"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6"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4">
        <v>82</v>
      </c>
      <c r="AB85" s="710" t="str">
        <f t="shared" si="7"/>
        <v/>
      </c>
      <c r="AC85" s="1387"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6"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4">
        <v>83</v>
      </c>
      <c r="AB86" s="710" t="str">
        <f t="shared" si="7"/>
        <v/>
      </c>
      <c r="AC86" s="1387"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6"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4">
        <v>84</v>
      </c>
      <c r="AB87" s="710" t="str">
        <f t="shared" si="7"/>
        <v/>
      </c>
      <c r="AC87" s="1387"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6"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4">
        <v>85</v>
      </c>
      <c r="AB88" s="710" t="str">
        <f t="shared" si="7"/>
        <v/>
      </c>
      <c r="AC88" s="1387"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6"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4">
        <v>86</v>
      </c>
      <c r="AB89" s="710" t="str">
        <f t="shared" si="7"/>
        <v/>
      </c>
      <c r="AC89" s="1387"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6">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4">
        <v>87</v>
      </c>
      <c r="AB90" s="710" t="str">
        <f t="shared" si="7"/>
        <v/>
      </c>
      <c r="AC90" s="1387"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6"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4">
        <v>88</v>
      </c>
      <c r="AB91" s="710" t="str">
        <f t="shared" si="7"/>
        <v/>
      </c>
      <c r="AC91" s="1387"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6"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4">
        <v>89</v>
      </c>
      <c r="AB92" s="710" t="str">
        <f t="shared" si="7"/>
        <v/>
      </c>
      <c r="AC92" s="1387"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6"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4">
        <v>90</v>
      </c>
      <c r="AB93" s="710" t="str">
        <f t="shared" si="7"/>
        <v/>
      </c>
      <c r="AC93" s="1387"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6">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4">
        <v>91</v>
      </c>
      <c r="AB94" s="710" t="str">
        <f t="shared" si="7"/>
        <v/>
      </c>
      <c r="AC94" s="1387"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6"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4">
        <v>92</v>
      </c>
      <c r="AB95" s="710" t="str">
        <f t="shared" si="7"/>
        <v/>
      </c>
      <c r="AC95" s="1387"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6"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4">
        <v>93</v>
      </c>
      <c r="AB96" s="710" t="str">
        <f t="shared" si="7"/>
        <v/>
      </c>
      <c r="AC96" s="1387"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6"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4">
        <v>94</v>
      </c>
      <c r="AB97" s="710" t="str">
        <f t="shared" si="7"/>
        <v/>
      </c>
      <c r="AC97" s="1387"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6"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4">
        <v>95</v>
      </c>
      <c r="AB98" s="710" t="str">
        <f t="shared" si="7"/>
        <v/>
      </c>
      <c r="AC98" s="1387"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6"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4">
        <v>96</v>
      </c>
      <c r="AB99" s="710" t="str">
        <f t="shared" si="7"/>
        <v/>
      </c>
      <c r="AC99" s="1387"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6"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4">
        <v>97</v>
      </c>
      <c r="AB100" s="710" t="str">
        <f t="shared" si="7"/>
        <v/>
      </c>
      <c r="AC100" s="1387"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6"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4">
        <v>98</v>
      </c>
      <c r="AB101" s="710" t="str">
        <f t="shared" si="7"/>
        <v/>
      </c>
      <c r="AC101" s="1387"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6"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4">
        <v>99</v>
      </c>
      <c r="AB102" s="710" t="str">
        <f t="shared" si="7"/>
        <v/>
      </c>
      <c r="AC102" s="1387"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6"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4">
        <v>100</v>
      </c>
      <c r="AB103" s="710" t="str">
        <f t="shared" si="7"/>
        <v/>
      </c>
      <c r="AC103" s="1387"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6">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4">
        <v>101</v>
      </c>
      <c r="AB104" s="710" t="str">
        <f t="shared" si="7"/>
        <v/>
      </c>
      <c r="AC104" s="1387"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6"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4">
        <v>102</v>
      </c>
      <c r="AB105" s="710" t="str">
        <f t="shared" si="7"/>
        <v/>
      </c>
      <c r="AC105" s="1387" t="str">
        <f t="shared" si="6"/>
        <v>Wicked Pyrestone (5crit/10ap)</v>
      </c>
    </row>
    <row r="106" spans="1:29">
      <c r="Y106" s="120"/>
    </row>
    <row r="107" spans="1:29" ht="23.25" thickBot="1">
      <c r="A107" s="749" t="s">
        <v>2837</v>
      </c>
      <c r="B107" s="749" t="s">
        <v>1933</v>
      </c>
      <c r="C107" s="749" t="s">
        <v>2795</v>
      </c>
      <c r="D107" s="749" t="s">
        <v>1213</v>
      </c>
      <c r="E107" s="749" t="s">
        <v>1214</v>
      </c>
      <c r="F107" s="749" t="s">
        <v>767</v>
      </c>
      <c r="G107" s="749" t="s">
        <v>2139</v>
      </c>
      <c r="H107" s="749" t="s">
        <v>2138</v>
      </c>
      <c r="I107" s="749" t="s">
        <v>770</v>
      </c>
      <c r="J107" s="749" t="s">
        <v>769</v>
      </c>
      <c r="K107" s="749" t="s">
        <v>759</v>
      </c>
      <c r="L107" s="749" t="s">
        <v>1215</v>
      </c>
      <c r="M107" s="749" t="s">
        <v>264</v>
      </c>
      <c r="N107" s="749" t="s">
        <v>1216</v>
      </c>
      <c r="O107" s="749" t="s">
        <v>1286</v>
      </c>
      <c r="P107" s="749" t="s">
        <v>1045</v>
      </c>
      <c r="Q107" s="727" t="s">
        <v>1046</v>
      </c>
      <c r="R107" s="749" t="s">
        <v>265</v>
      </c>
      <c r="S107" s="749" t="s">
        <v>1343</v>
      </c>
      <c r="T107" s="776" t="s">
        <v>54</v>
      </c>
      <c r="U107" s="777" t="s">
        <v>56</v>
      </c>
      <c r="V107" s="778" t="s">
        <v>55</v>
      </c>
      <c r="W107" s="749">
        <v>0</v>
      </c>
      <c r="X107" s="749"/>
      <c r="Y107" s="749"/>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79">
        <f>'Gear &amp; Buffs'!R75+'Gear &amp; Buffs'!S75</f>
        <v>12</v>
      </c>
      <c r="X108" s="734"/>
      <c r="Y108" s="710" t="s">
        <v>1688</v>
      </c>
      <c r="Z108" s="6" t="s">
        <v>1923</v>
      </c>
      <c r="AC108" s="1387"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0"/>
      <c r="X109" s="734"/>
      <c r="Y109" s="710"/>
      <c r="AC109" s="1387">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1"/>
      <c r="W110" s="129">
        <f>IF(AND(OR(IF(includep1,$C110&lt;=1), IF(includep2,$C110&lt;=2), IF(includep3,$C110&lt;=3), IF(includep4,$C110&lt;=107), IF(includep5,$C110&lt;=5))),MAX($W$107:$W108)+1,"")</f>
        <v>1</v>
      </c>
      <c r="X110" s="734">
        <v>1</v>
      </c>
      <c r="Y110" s="710" t="str">
        <f>IF(ISNA(INDEX($A$110:$A$117,MATCH(X110,W$110:W$117,0))), "", INDEX($A$110:$A$117,MATCH(X110,W$110:W$117,0)))</f>
        <v>Brutal Earthstorm Diamond (3dam/stun)</v>
      </c>
      <c r="Z110" s="6" t="s">
        <v>1923</v>
      </c>
      <c r="AC110" s="1387"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1"/>
      <c r="W111" s="129">
        <f>IF(AND(OR(IF(includep1,$C111&lt;=1), IF(includep2,$C111&lt;=2), IF(includep3,$C111&lt;=3), IF(includep4,$C111&lt;=107), IF(includep5,$C111&lt;=5))),MAX($W$107:$W110)+1,"")</f>
        <v>2</v>
      </c>
      <c r="X111" s="734">
        <v>2</v>
      </c>
      <c r="Y111" s="710" t="str">
        <f t="shared" ref="Y111:Y117" si="12">IF(ISNA(INDEX($A$110:$A$117,MATCH(X111,W$110:W$117,0))), "", INDEX($A$110:$A$117,MATCH(X111,W$110:W$117,0)))</f>
        <v>Enigmatic Skyfire Diamond (12crit/5%root resi)</v>
      </c>
      <c r="Z111" s="6" t="s">
        <v>1923</v>
      </c>
      <c r="AC111" s="1387"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1"/>
      <c r="W112" s="129" t="str">
        <f>IF(AND(OR(IF(includep1,$C112&lt;=1), IF(includep2,$C112&lt;=2), IF(includep3,$C112&lt;=3), IF(includep4,$C112&lt;=107), IF(includep5,$C112&lt;=5))),MAX($W$107:$W111)+1,"")</f>
        <v/>
      </c>
      <c r="X112" s="734">
        <v>3</v>
      </c>
      <c r="Y112" s="710" t="str">
        <f t="shared" si="12"/>
        <v>Powerful Earthstorm Diamond (18sta/5%stun resi)</v>
      </c>
      <c r="Z112" s="6" t="s">
        <v>1923</v>
      </c>
      <c r="AC112" s="1387"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1"/>
      <c r="W113" s="129">
        <f>IF(AND(OR(IF(includep1,$C113&lt;=1), IF(includep2,$C113&lt;=2), IF(includep3,$C113&lt;=3), IF(includep4,$C113&lt;=107), IF(includep5,$C113&lt;=5))),MAX($W$107:$W112)+1,"")</f>
        <v>3</v>
      </c>
      <c r="X113" s="734">
        <v>4</v>
      </c>
      <c r="Y113" s="710" t="str">
        <f t="shared" si="12"/>
        <v>Relentless Earthstorm Diamond (12agi/3%crit dam)</v>
      </c>
      <c r="Z113" s="6" t="s">
        <v>1923</v>
      </c>
      <c r="AC113" s="1387"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1"/>
      <c r="W114" s="129">
        <f>IF(AND(OR(IF(includep1,$C114&lt;=1), IF(includep2,$C114&lt;=2), IF(includep3,$C114&lt;=3), IF(includep4,$C114&lt;=107), IF(includep5,$C114&lt;=5))),MAX($W$107:$W113)+1,"")</f>
        <v>4</v>
      </c>
      <c r="X114" s="734">
        <v>5</v>
      </c>
      <c r="Y114" s="710" t="str">
        <f t="shared" si="12"/>
        <v>Swift Skyfire Diamond (24ap/minor speed)</v>
      </c>
      <c r="Z114" s="6" t="s">
        <v>1923</v>
      </c>
      <c r="AC114" s="1387"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1"/>
      <c r="W115" s="129">
        <f>IF(AND(OR(IF(includep1,$C115&lt;=1), IF(includep2,$C115&lt;=2), IF(includep3,$C115&lt;=3), IF(includep4,$C115&lt;=107), IF(includep5,$C115&lt;=5))),MAX($W$107:$W114)+1,"")</f>
        <v>5</v>
      </c>
      <c r="X115" s="734">
        <v>6</v>
      </c>
      <c r="Y115" s="710" t="str">
        <f t="shared" si="12"/>
        <v>Swift Windfire Diamond (20ap/minor speed)</v>
      </c>
      <c r="Z115" s="6" t="s">
        <v>1923</v>
      </c>
      <c r="AC115" s="1387"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1"/>
      <c r="W116" s="129">
        <f>IF(AND(OR(IF(includep1,$C116&lt;=1), IF(includep2,$C116&lt;=2), IF(includep3,$C116&lt;=3), IF(includep4,$C116&lt;=107), IF(includep5,$C116&lt;=5))),MAX($W$107:$W115)+1,"")</f>
        <v>6</v>
      </c>
      <c r="X116" s="734">
        <v>7</v>
      </c>
      <c r="Y116" s="710" t="str">
        <f t="shared" si="12"/>
        <v>Thundering Skyfire Diamond (haste)</v>
      </c>
      <c r="Z116" s="6" t="s">
        <v>1923</v>
      </c>
      <c r="AC116" s="1387"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1"/>
      <c r="W117" s="129">
        <f>IF(AND(OR(IF(includep1,$C117&lt;=1), IF(includep2,$C117&lt;=2), IF(includep3,$C117&lt;=3), IF(includep4,$C117&lt;=107), IF(includep5,$C117&lt;=5))),MAX($W$107:$W116)+1,"")</f>
        <v>7</v>
      </c>
      <c r="X117" s="734">
        <v>8</v>
      </c>
      <c r="Y117" s="710" t="str">
        <f t="shared" si="12"/>
        <v/>
      </c>
      <c r="Z117" s="6" t="s">
        <v>1923</v>
      </c>
      <c r="AC117" s="1387"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697"/>
      <c r="U1" s="697"/>
      <c r="V1" s="697"/>
      <c r="W1" s="697" t="s">
        <v>567</v>
      </c>
      <c r="X1" s="702" t="s">
        <v>568</v>
      </c>
      <c r="Y1" s="698" t="s">
        <v>265</v>
      </c>
      <c r="Z1" s="699" t="s">
        <v>1473</v>
      </c>
      <c r="AA1" s="698">
        <v>0</v>
      </c>
      <c r="AB1" s="698"/>
      <c r="AC1" s="700" t="s">
        <v>460</v>
      </c>
    </row>
    <row r="2" spans="1:30">
      <c r="A2" s="691" t="s">
        <v>2333</v>
      </c>
      <c r="B2" s="692">
        <v>22478</v>
      </c>
      <c r="C2" s="692">
        <v>1</v>
      </c>
      <c r="D2" s="692">
        <v>18</v>
      </c>
      <c r="E2" s="692">
        <v>30</v>
      </c>
      <c r="F2" s="692"/>
      <c r="G2" s="693">
        <v>28</v>
      </c>
      <c r="H2" s="693">
        <v>10</v>
      </c>
      <c r="I2" s="692"/>
      <c r="J2" s="692"/>
      <c r="K2" s="692"/>
      <c r="L2" s="692">
        <v>29</v>
      </c>
      <c r="M2" s="693"/>
      <c r="N2" s="693"/>
      <c r="O2" s="692"/>
      <c r="P2" s="692" t="s">
        <v>2334</v>
      </c>
      <c r="Q2" s="692" t="s">
        <v>1047</v>
      </c>
      <c r="R2" s="692"/>
      <c r="S2" s="692" t="s">
        <v>667</v>
      </c>
      <c r="T2" s="47"/>
      <c r="U2" s="47"/>
      <c r="V2" s="47"/>
      <c r="W2" s="47" t="s">
        <v>191</v>
      </c>
      <c r="X2" s="692">
        <v>88</v>
      </c>
      <c r="Y2" s="887">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4">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3"/>
      <c r="AC2" s="709" t="s">
        <v>1688</v>
      </c>
      <c r="AD2" s="1388" t="str">
        <f>HYPERLINK("https://tbc.wowhead.com/item="&amp;B2,A2)</f>
        <v>Bonescythe Helmet</v>
      </c>
    </row>
    <row r="3" spans="1:30">
      <c r="A3" s="673" t="s">
        <v>1483</v>
      </c>
      <c r="B3" s="674">
        <v>35033</v>
      </c>
      <c r="C3" s="674">
        <v>5</v>
      </c>
      <c r="D3" s="674"/>
      <c r="E3" s="674">
        <v>36</v>
      </c>
      <c r="F3" s="674">
        <v>62</v>
      </c>
      <c r="G3" s="675">
        <v>26</v>
      </c>
      <c r="H3" s="675">
        <v>17</v>
      </c>
      <c r="I3" s="674"/>
      <c r="J3" s="674">
        <v>84</v>
      </c>
      <c r="K3" s="674"/>
      <c r="L3" s="674">
        <v>72</v>
      </c>
      <c r="M3" s="675"/>
      <c r="N3" s="675">
        <v>25</v>
      </c>
      <c r="O3" s="674"/>
      <c r="P3" s="674" t="s">
        <v>1067</v>
      </c>
      <c r="Q3" s="674" t="s">
        <v>1063</v>
      </c>
      <c r="R3" s="674" t="s">
        <v>1068</v>
      </c>
      <c r="S3" s="674" t="s">
        <v>676</v>
      </c>
      <c r="T3" s="47"/>
      <c r="U3" s="47"/>
      <c r="V3" s="47"/>
      <c r="W3" s="47" t="s">
        <v>191</v>
      </c>
      <c r="X3" s="674">
        <v>159</v>
      </c>
      <c r="Y3" s="886">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6">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4"/>
      <c r="AC3" s="710" t="str">
        <f>" "</f>
        <v xml:space="preserve"> </v>
      </c>
      <c r="AD3" s="1388" t="str">
        <f t="shared" ref="AD3:AD28" si="0">HYPERLINK("https://tbc.wowhead.com/item="&amp;B3,A3)</f>
        <v>Brutal Gladiator's Leather Helm</v>
      </c>
    </row>
    <row r="4" spans="1:30">
      <c r="A4" s="673" t="s">
        <v>1048</v>
      </c>
      <c r="B4" s="675">
        <v>29502</v>
      </c>
      <c r="C4" s="675">
        <v>1</v>
      </c>
      <c r="D4" s="674"/>
      <c r="E4" s="674">
        <v>37</v>
      </c>
      <c r="F4" s="674">
        <v>74</v>
      </c>
      <c r="G4" s="675"/>
      <c r="H4" s="675">
        <v>18</v>
      </c>
      <c r="I4" s="675"/>
      <c r="J4" s="674"/>
      <c r="K4" s="675"/>
      <c r="L4" s="674">
        <v>42</v>
      </c>
      <c r="M4" s="675"/>
      <c r="N4" s="675"/>
      <c r="O4" s="675"/>
      <c r="P4" s="684"/>
      <c r="Q4" s="674" t="s">
        <v>1047</v>
      </c>
      <c r="R4" s="674"/>
      <c r="S4" s="674" t="s">
        <v>684</v>
      </c>
      <c r="T4" s="683"/>
      <c r="U4" s="683"/>
      <c r="V4" s="683"/>
      <c r="W4" s="683" t="s">
        <v>191</v>
      </c>
      <c r="X4" s="675">
        <v>105</v>
      </c>
      <c r="Y4" s="886">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6">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4">
        <v>1</v>
      </c>
      <c r="AC4" s="710" t="str">
        <f t="shared" ref="AC4:AC31" si="1">IF(ISNA(INDEX($A$2:$A$29,MATCH(AB4,AA$2:AA$29,0))), "", INDEX($A$2:$A$29,MATCH(AB4,AA$2:AA$29,0)))</f>
        <v>Bonescythe Helmet</v>
      </c>
      <c r="AD4" s="1388" t="str">
        <f t="shared" si="0"/>
        <v>Cobrascale Hood</v>
      </c>
    </row>
    <row r="5" spans="1:30">
      <c r="A5" s="673" t="s">
        <v>1049</v>
      </c>
      <c r="B5" s="675">
        <v>28732</v>
      </c>
      <c r="C5" s="675">
        <v>1</v>
      </c>
      <c r="D5" s="674"/>
      <c r="E5" s="674">
        <v>34</v>
      </c>
      <c r="F5" s="674">
        <v>100</v>
      </c>
      <c r="G5" s="675"/>
      <c r="H5" s="675">
        <v>24</v>
      </c>
      <c r="I5" s="675"/>
      <c r="J5" s="674"/>
      <c r="K5" s="675"/>
      <c r="L5" s="674">
        <v>33</v>
      </c>
      <c r="M5" s="675"/>
      <c r="N5" s="675"/>
      <c r="O5" s="675"/>
      <c r="P5" s="684"/>
      <c r="Q5" s="674" t="s">
        <v>1047</v>
      </c>
      <c r="R5" s="674"/>
      <c r="S5" s="675" t="s">
        <v>671</v>
      </c>
      <c r="T5" s="685"/>
      <c r="U5" s="683"/>
      <c r="V5" s="683"/>
      <c r="W5" s="683" t="s">
        <v>191</v>
      </c>
      <c r="X5" s="675">
        <v>115</v>
      </c>
      <c r="Y5" s="886">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6">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4">
        <v>2</v>
      </c>
      <c r="AC5" s="710" t="str">
        <f t="shared" si="1"/>
        <v>Cobrascale Hood</v>
      </c>
      <c r="AD5" s="1388" t="str">
        <f t="shared" si="0"/>
        <v>Cowl of Defiance</v>
      </c>
    </row>
    <row r="6" spans="1:30">
      <c r="A6" s="673" t="s">
        <v>2248</v>
      </c>
      <c r="B6" s="675">
        <v>32235</v>
      </c>
      <c r="C6" s="675">
        <v>3</v>
      </c>
      <c r="D6" s="674"/>
      <c r="E6" s="674">
        <v>39</v>
      </c>
      <c r="F6" s="674">
        <v>108</v>
      </c>
      <c r="G6" s="675">
        <v>38</v>
      </c>
      <c r="H6" s="675">
        <v>21</v>
      </c>
      <c r="I6" s="675"/>
      <c r="J6" s="674"/>
      <c r="K6" s="675"/>
      <c r="L6" s="674">
        <v>46</v>
      </c>
      <c r="M6" s="675"/>
      <c r="N6" s="675"/>
      <c r="O6" s="675"/>
      <c r="P6" s="684"/>
      <c r="Q6" s="674" t="s">
        <v>1050</v>
      </c>
      <c r="R6" s="674" t="s">
        <v>1051</v>
      </c>
      <c r="S6" s="675" t="s">
        <v>682</v>
      </c>
      <c r="T6" s="683"/>
      <c r="U6" s="683"/>
      <c r="V6" s="683"/>
      <c r="W6" s="683" t="s">
        <v>191</v>
      </c>
      <c r="X6" s="675">
        <v>151</v>
      </c>
      <c r="Y6" s="886">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6">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4">
        <v>3</v>
      </c>
      <c r="AC6" s="710" t="str">
        <f t="shared" si="1"/>
        <v>Cowl of Defiance</v>
      </c>
      <c r="AD6" s="1388" t="str">
        <f t="shared" si="0"/>
        <v>Cursed Vision of Sargeras</v>
      </c>
    </row>
    <row r="7" spans="1:30">
      <c r="A7" s="673" t="s">
        <v>1052</v>
      </c>
      <c r="B7" s="675">
        <v>27415</v>
      </c>
      <c r="C7" s="675">
        <v>1</v>
      </c>
      <c r="D7" s="674"/>
      <c r="E7" s="674">
        <v>29</v>
      </c>
      <c r="F7" s="674">
        <v>60</v>
      </c>
      <c r="G7" s="675"/>
      <c r="H7" s="675">
        <v>20</v>
      </c>
      <c r="I7" s="675"/>
      <c r="J7" s="674"/>
      <c r="K7" s="675"/>
      <c r="L7" s="674">
        <v>30</v>
      </c>
      <c r="M7" s="675"/>
      <c r="N7" s="675"/>
      <c r="O7" s="675"/>
      <c r="P7" s="684"/>
      <c r="Q7" s="674" t="s">
        <v>1047</v>
      </c>
      <c r="R7" s="674"/>
      <c r="S7" s="674" t="s">
        <v>672</v>
      </c>
      <c r="T7" s="683"/>
      <c r="U7" s="683"/>
      <c r="V7" s="683"/>
      <c r="W7" s="683" t="s">
        <v>631</v>
      </c>
      <c r="X7" s="675">
        <v>100</v>
      </c>
      <c r="Y7" s="886">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6">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4">
        <v>4</v>
      </c>
      <c r="AC7" s="710" t="str">
        <f t="shared" si="1"/>
        <v>Darkguard Face Mask</v>
      </c>
      <c r="AD7" s="1388" t="str">
        <f t="shared" si="0"/>
        <v>Darkguard Face Mask</v>
      </c>
    </row>
    <row r="8" spans="1:30" s="47" customFormat="1">
      <c r="A8" s="686" t="s">
        <v>1053</v>
      </c>
      <c r="B8" s="674">
        <v>32478</v>
      </c>
      <c r="C8" s="674">
        <v>5</v>
      </c>
      <c r="D8" s="674"/>
      <c r="E8" s="674">
        <v>48</v>
      </c>
      <c r="F8" s="674">
        <v>76</v>
      </c>
      <c r="G8" s="675"/>
      <c r="H8" s="675">
        <v>11</v>
      </c>
      <c r="I8" s="674"/>
      <c r="J8" s="674"/>
      <c r="K8" s="674"/>
      <c r="L8" s="674">
        <v>28</v>
      </c>
      <c r="M8" s="675"/>
      <c r="N8" s="675"/>
      <c r="O8" s="674"/>
      <c r="P8" s="674"/>
      <c r="Q8" s="674" t="s">
        <v>1054</v>
      </c>
      <c r="R8" s="674" t="s">
        <v>1055</v>
      </c>
      <c r="S8" s="674" t="s">
        <v>688</v>
      </c>
      <c r="T8" s="683"/>
      <c r="U8" s="683"/>
      <c r="V8" s="683"/>
      <c r="W8" s="683" t="s">
        <v>191</v>
      </c>
      <c r="X8" s="674">
        <v>127</v>
      </c>
      <c r="Y8" s="886">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6">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4">
        <v>5</v>
      </c>
      <c r="AC8" s="710" t="str">
        <f t="shared" si="1"/>
        <v>Gladiator's Leather Helm</v>
      </c>
      <c r="AD8" s="1388" t="str">
        <f t="shared" si="0"/>
        <v>Deathblow X11 Goggles</v>
      </c>
    </row>
    <row r="9" spans="1:30">
      <c r="A9" s="673" t="s">
        <v>1056</v>
      </c>
      <c r="B9" s="674">
        <v>30146</v>
      </c>
      <c r="C9" s="674">
        <v>2</v>
      </c>
      <c r="D9" s="674"/>
      <c r="E9" s="674">
        <v>39</v>
      </c>
      <c r="F9" s="674">
        <v>78</v>
      </c>
      <c r="G9" s="675">
        <v>25</v>
      </c>
      <c r="H9" s="675"/>
      <c r="I9" s="674"/>
      <c r="J9" s="674"/>
      <c r="K9" s="674"/>
      <c r="L9" s="674">
        <v>48</v>
      </c>
      <c r="M9" s="675"/>
      <c r="N9" s="675"/>
      <c r="O9" s="674"/>
      <c r="P9" s="674" t="s">
        <v>1062</v>
      </c>
      <c r="Q9" s="674" t="s">
        <v>1063</v>
      </c>
      <c r="R9" s="674" t="s">
        <v>1064</v>
      </c>
      <c r="S9" s="674" t="s">
        <v>666</v>
      </c>
      <c r="T9" s="683"/>
      <c r="U9" s="683"/>
      <c r="V9" s="683"/>
      <c r="W9" s="683" t="s">
        <v>191</v>
      </c>
      <c r="X9" s="674">
        <v>133</v>
      </c>
      <c r="Y9" s="886">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6">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4">
        <v>6</v>
      </c>
      <c r="AC9" s="710" t="str">
        <f t="shared" si="1"/>
        <v>Helm of Assassination</v>
      </c>
      <c r="AD9" s="1388" t="str">
        <f t="shared" si="0"/>
        <v>Deathmantle Helm</v>
      </c>
    </row>
    <row r="10" spans="1:30">
      <c r="A10" s="673" t="s">
        <v>964</v>
      </c>
      <c r="B10" s="674">
        <v>34244</v>
      </c>
      <c r="C10" s="674">
        <v>5</v>
      </c>
      <c r="D10" s="674"/>
      <c r="E10" s="674">
        <v>43</v>
      </c>
      <c r="F10" s="674">
        <v>126</v>
      </c>
      <c r="G10" s="675"/>
      <c r="H10" s="675">
        <v>30</v>
      </c>
      <c r="I10" s="674">
        <v>34</v>
      </c>
      <c r="J10" s="674"/>
      <c r="K10" s="674"/>
      <c r="L10" s="674">
        <v>57</v>
      </c>
      <c r="M10" s="675"/>
      <c r="N10" s="675"/>
      <c r="O10" s="674"/>
      <c r="P10" s="674"/>
      <c r="Q10" s="674" t="s">
        <v>1063</v>
      </c>
      <c r="R10" s="674" t="s">
        <v>2019</v>
      </c>
      <c r="S10" s="674" t="s">
        <v>870</v>
      </c>
      <c r="T10" s="683"/>
      <c r="U10" s="683"/>
      <c r="V10" s="683"/>
      <c r="W10" s="683" t="s">
        <v>191</v>
      </c>
      <c r="X10" s="674">
        <v>164</v>
      </c>
      <c r="Y10" s="886">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6">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4">
        <v>7</v>
      </c>
      <c r="AC10" s="710" t="str">
        <f t="shared" si="1"/>
        <v>Helm of the Claw</v>
      </c>
      <c r="AD10" s="1388" t="str">
        <f t="shared" si="0"/>
        <v>Duplicitous Guise</v>
      </c>
    </row>
    <row r="11" spans="1:30" s="129" customFormat="1">
      <c r="A11" s="673" t="s">
        <v>1066</v>
      </c>
      <c r="B11" s="674">
        <v>25830</v>
      </c>
      <c r="C11" s="674">
        <v>1</v>
      </c>
      <c r="D11" s="674"/>
      <c r="E11" s="674">
        <v>34</v>
      </c>
      <c r="F11" s="674">
        <v>36</v>
      </c>
      <c r="G11" s="675">
        <v>13</v>
      </c>
      <c r="H11" s="675"/>
      <c r="I11" s="674"/>
      <c r="J11" s="674"/>
      <c r="K11" s="674"/>
      <c r="L11" s="674">
        <v>53</v>
      </c>
      <c r="M11" s="675"/>
      <c r="N11" s="675">
        <v>23</v>
      </c>
      <c r="O11" s="674"/>
      <c r="P11" s="674" t="s">
        <v>1067</v>
      </c>
      <c r="Q11" s="674" t="s">
        <v>1063</v>
      </c>
      <c r="R11" s="674" t="s">
        <v>1068</v>
      </c>
      <c r="S11" s="674" t="s">
        <v>676</v>
      </c>
      <c r="T11" s="683"/>
      <c r="U11" s="683"/>
      <c r="V11" s="683"/>
      <c r="W11" s="683" t="s">
        <v>191</v>
      </c>
      <c r="X11" s="674">
        <v>123</v>
      </c>
      <c r="Y11" s="886">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6">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4">
        <v>8</v>
      </c>
      <c r="AC11" s="710" t="str">
        <f t="shared" si="1"/>
        <v>Malefic Mask of the Shadows</v>
      </c>
      <c r="AD11" s="1388" t="str">
        <f t="shared" si="0"/>
        <v>Gladiator's Leather Helm</v>
      </c>
    </row>
    <row r="12" spans="1:30">
      <c r="A12" s="673" t="s">
        <v>547</v>
      </c>
      <c r="B12" s="674">
        <v>33479</v>
      </c>
      <c r="C12" s="674">
        <v>4</v>
      </c>
      <c r="D12" s="674"/>
      <c r="E12" s="674">
        <v>40</v>
      </c>
      <c r="F12" s="674">
        <v>82</v>
      </c>
      <c r="G12" s="675"/>
      <c r="H12" s="675">
        <v>24</v>
      </c>
      <c r="I12" s="674"/>
      <c r="J12" s="674"/>
      <c r="K12" s="674"/>
      <c r="L12" s="674">
        <v>48</v>
      </c>
      <c r="M12" s="675"/>
      <c r="N12" s="675"/>
      <c r="O12" s="674"/>
      <c r="P12" s="674"/>
      <c r="Q12" s="674" t="s">
        <v>1000</v>
      </c>
      <c r="R12" s="674" t="s">
        <v>1064</v>
      </c>
      <c r="S12" s="674" t="s">
        <v>663</v>
      </c>
      <c r="T12" s="683"/>
      <c r="U12" s="683"/>
      <c r="V12" s="683"/>
      <c r="W12" s="683" t="s">
        <v>191</v>
      </c>
      <c r="X12" s="674">
        <v>133</v>
      </c>
      <c r="Y12" s="886">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6">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4">
        <v>9</v>
      </c>
      <c r="AC12" s="710" t="str">
        <f t="shared" si="1"/>
        <v>Mask of the Deceiver</v>
      </c>
      <c r="AD12" s="1388" t="str">
        <f t="shared" si="0"/>
        <v>Grimgrin Faceguard</v>
      </c>
    </row>
    <row r="13" spans="1:30">
      <c r="A13" s="673" t="s">
        <v>1070</v>
      </c>
      <c r="B13" s="674">
        <v>28414</v>
      </c>
      <c r="C13" s="674">
        <v>1</v>
      </c>
      <c r="D13" s="674"/>
      <c r="E13" s="674"/>
      <c r="F13" s="674">
        <v>66</v>
      </c>
      <c r="G13" s="675">
        <v>25</v>
      </c>
      <c r="H13" s="675"/>
      <c r="I13" s="674"/>
      <c r="J13" s="674"/>
      <c r="K13" s="674"/>
      <c r="L13" s="674">
        <v>25</v>
      </c>
      <c r="M13" s="675"/>
      <c r="N13" s="675"/>
      <c r="O13" s="674"/>
      <c r="P13" s="674" t="s">
        <v>2145</v>
      </c>
      <c r="Q13" s="674" t="s">
        <v>1050</v>
      </c>
      <c r="R13" s="674" t="s">
        <v>1071</v>
      </c>
      <c r="S13" s="674" t="s">
        <v>672</v>
      </c>
      <c r="T13" s="683"/>
      <c r="U13" s="683"/>
      <c r="V13" s="683"/>
      <c r="W13" s="683" t="s">
        <v>631</v>
      </c>
      <c r="X13" s="674">
        <v>115</v>
      </c>
      <c r="Y13" s="886">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6">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4">
        <v>10</v>
      </c>
      <c r="AC13" s="710" t="str">
        <f t="shared" si="1"/>
        <v>Mask of Veiled Death</v>
      </c>
      <c r="AD13" s="1388" t="str">
        <f t="shared" si="0"/>
        <v>Helm of Assassination</v>
      </c>
    </row>
    <row r="14" spans="1:30">
      <c r="A14" s="673" t="s">
        <v>1072</v>
      </c>
      <c r="B14" s="674">
        <v>28182</v>
      </c>
      <c r="C14" s="674">
        <v>1</v>
      </c>
      <c r="D14" s="674"/>
      <c r="E14" s="674">
        <v>25</v>
      </c>
      <c r="F14" s="674">
        <v>66</v>
      </c>
      <c r="G14" s="675"/>
      <c r="H14" s="675">
        <v>14</v>
      </c>
      <c r="I14" s="674"/>
      <c r="J14" s="674"/>
      <c r="K14" s="674"/>
      <c r="L14" s="674">
        <v>21</v>
      </c>
      <c r="M14" s="675"/>
      <c r="N14" s="675"/>
      <c r="O14" s="674"/>
      <c r="P14" s="674"/>
      <c r="Q14" s="674" t="s">
        <v>1050</v>
      </c>
      <c r="R14" s="674" t="s">
        <v>1068</v>
      </c>
      <c r="S14" s="674" t="s">
        <v>674</v>
      </c>
      <c r="T14" s="683"/>
      <c r="U14" s="683"/>
      <c r="V14" s="683"/>
      <c r="W14" s="683" t="s">
        <v>631</v>
      </c>
      <c r="X14" s="674">
        <v>115</v>
      </c>
      <c r="Y14" s="886">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6">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4">
        <v>11</v>
      </c>
      <c r="AC14" s="710" t="str">
        <f t="shared" si="1"/>
        <v>Netherblade Facemask</v>
      </c>
      <c r="AD14" s="1388" t="str">
        <f t="shared" si="0"/>
        <v>Helm of the Claw</v>
      </c>
    </row>
    <row r="15" spans="1:30">
      <c r="A15" s="673" t="s">
        <v>1073</v>
      </c>
      <c r="B15" s="674">
        <v>28796</v>
      </c>
      <c r="C15" s="674">
        <v>1</v>
      </c>
      <c r="D15" s="674"/>
      <c r="E15" s="674"/>
      <c r="F15" s="674">
        <v>84</v>
      </c>
      <c r="G15" s="675">
        <v>42</v>
      </c>
      <c r="H15" s="675">
        <v>31</v>
      </c>
      <c r="I15" s="674"/>
      <c r="J15" s="674"/>
      <c r="K15" s="674"/>
      <c r="L15" s="674">
        <v>45</v>
      </c>
      <c r="M15" s="675"/>
      <c r="N15" s="675"/>
      <c r="O15" s="674"/>
      <c r="P15" s="674"/>
      <c r="Q15" s="674" t="s">
        <v>1047</v>
      </c>
      <c r="R15" s="674"/>
      <c r="S15" s="674" t="s">
        <v>677</v>
      </c>
      <c r="T15" s="683"/>
      <c r="U15" s="683"/>
      <c r="V15" s="683"/>
      <c r="W15" s="683" t="s">
        <v>191</v>
      </c>
      <c r="X15" s="674">
        <v>125</v>
      </c>
      <c r="Y15" s="886">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6">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4">
        <v>12</v>
      </c>
      <c r="AC15" s="710" t="str">
        <f t="shared" si="1"/>
        <v>Opportunist's Leather Helm</v>
      </c>
      <c r="AD15" s="1388" t="str">
        <f t="shared" si="0"/>
        <v>Malefic Mask of the Shadows</v>
      </c>
    </row>
    <row r="16" spans="1:30">
      <c r="A16" s="673" t="s">
        <v>1074</v>
      </c>
      <c r="B16" s="674">
        <v>32087</v>
      </c>
      <c r="C16" s="674">
        <v>1</v>
      </c>
      <c r="D16" s="674"/>
      <c r="E16" s="674">
        <v>32</v>
      </c>
      <c r="F16" s="674">
        <v>64</v>
      </c>
      <c r="G16" s="675"/>
      <c r="H16" s="675">
        <v>16</v>
      </c>
      <c r="I16" s="674"/>
      <c r="J16" s="674"/>
      <c r="K16" s="674"/>
      <c r="L16" s="674">
        <v>36</v>
      </c>
      <c r="M16" s="675"/>
      <c r="N16" s="675"/>
      <c r="O16" s="674"/>
      <c r="P16" s="674"/>
      <c r="Q16" s="674" t="s">
        <v>1050</v>
      </c>
      <c r="R16" s="674" t="s">
        <v>1055</v>
      </c>
      <c r="S16" s="674" t="s">
        <v>690</v>
      </c>
      <c r="T16" s="688"/>
      <c r="U16" s="683"/>
      <c r="V16" s="683"/>
      <c r="W16" s="683" t="s">
        <v>191</v>
      </c>
      <c r="X16" s="674">
        <v>110</v>
      </c>
      <c r="Y16" s="886">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2">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4">
        <v>13</v>
      </c>
      <c r="AC16" s="710" t="str">
        <f t="shared" si="1"/>
        <v>Savage Mask of the Lynx Lord</v>
      </c>
      <c r="AD16" s="1388" t="str">
        <f t="shared" si="0"/>
        <v>Mask of the Deceiver</v>
      </c>
    </row>
    <row r="17" spans="1:35">
      <c r="A17" s="673" t="s">
        <v>1210</v>
      </c>
      <c r="B17" s="674">
        <v>34404</v>
      </c>
      <c r="C17" s="674">
        <v>5</v>
      </c>
      <c r="D17" s="674">
        <v>50</v>
      </c>
      <c r="E17" s="674">
        <v>50</v>
      </c>
      <c r="F17" s="674"/>
      <c r="G17" s="675">
        <v>30</v>
      </c>
      <c r="H17" s="675"/>
      <c r="I17" s="674"/>
      <c r="J17" s="674"/>
      <c r="K17" s="674"/>
      <c r="L17" s="674">
        <v>58</v>
      </c>
      <c r="M17" s="675"/>
      <c r="N17" s="675"/>
      <c r="O17" s="674"/>
      <c r="P17" s="674"/>
      <c r="Q17" s="674" t="s">
        <v>1063</v>
      </c>
      <c r="R17" s="674" t="s">
        <v>1051</v>
      </c>
      <c r="S17" s="674" t="s">
        <v>870</v>
      </c>
      <c r="T17" s="683"/>
      <c r="U17" s="683"/>
      <c r="V17" s="683"/>
      <c r="W17" s="683" t="s">
        <v>191</v>
      </c>
      <c r="X17" s="674">
        <v>159</v>
      </c>
      <c r="Y17" s="886">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6">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4">
        <v>14</v>
      </c>
      <c r="AC17" s="710" t="str">
        <f t="shared" si="1"/>
        <v>Stealther's Helmet of Second Sight</v>
      </c>
      <c r="AD17" s="1388" t="str">
        <f t="shared" si="0"/>
        <v>Mask of the Fury Hunter</v>
      </c>
    </row>
    <row r="18" spans="1:35">
      <c r="A18" s="673" t="s">
        <v>1075</v>
      </c>
      <c r="B18" s="674">
        <v>31281</v>
      </c>
      <c r="C18" s="674">
        <v>1</v>
      </c>
      <c r="D18" s="674"/>
      <c r="E18" s="674"/>
      <c r="F18" s="674">
        <v>80</v>
      </c>
      <c r="G18" s="675">
        <v>30</v>
      </c>
      <c r="H18" s="675">
        <v>19</v>
      </c>
      <c r="I18" s="674"/>
      <c r="J18" s="674"/>
      <c r="K18" s="674"/>
      <c r="L18" s="674"/>
      <c r="M18" s="675"/>
      <c r="N18" s="675"/>
      <c r="O18" s="674"/>
      <c r="P18" s="674"/>
      <c r="Q18" s="674" t="s">
        <v>1047</v>
      </c>
      <c r="R18" s="674"/>
      <c r="S18" s="674" t="s">
        <v>673</v>
      </c>
      <c r="T18" s="683"/>
      <c r="U18" s="683"/>
      <c r="V18" s="683"/>
      <c r="W18" s="683" t="s">
        <v>631</v>
      </c>
      <c r="X18" s="674">
        <v>106</v>
      </c>
      <c r="Y18" s="886">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6">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4">
        <v>15</v>
      </c>
      <c r="AC18" s="710" t="str">
        <f t="shared" si="1"/>
        <v>The Night Watchman</v>
      </c>
      <c r="AD18" s="1388" t="str">
        <f t="shared" si="0"/>
        <v>Mask of Veiled Death</v>
      </c>
    </row>
    <row r="19" spans="1:35">
      <c r="A19" s="673" t="s">
        <v>1076</v>
      </c>
      <c r="B19" s="674">
        <v>31999</v>
      </c>
      <c r="C19" s="674">
        <v>2</v>
      </c>
      <c r="D19" s="674"/>
      <c r="E19" s="674">
        <v>37</v>
      </c>
      <c r="F19" s="674">
        <v>44</v>
      </c>
      <c r="G19" s="675">
        <v>17</v>
      </c>
      <c r="H19" s="675"/>
      <c r="I19" s="674"/>
      <c r="J19" s="674"/>
      <c r="K19" s="674"/>
      <c r="L19" s="674">
        <v>58</v>
      </c>
      <c r="M19" s="675"/>
      <c r="N19" s="675">
        <v>25</v>
      </c>
      <c r="O19" s="674"/>
      <c r="P19" s="674" t="s">
        <v>1067</v>
      </c>
      <c r="Q19" s="674" t="s">
        <v>1063</v>
      </c>
      <c r="R19" s="674" t="s">
        <v>1068</v>
      </c>
      <c r="S19" s="674" t="s">
        <v>676</v>
      </c>
      <c r="T19" s="47"/>
      <c r="U19" s="47"/>
      <c r="V19" s="47"/>
      <c r="W19" s="47" t="s">
        <v>191</v>
      </c>
      <c r="X19" s="674">
        <v>136</v>
      </c>
      <c r="Y19" s="886">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6">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4">
        <v>16</v>
      </c>
      <c r="AC19" s="710" t="str">
        <f t="shared" si="1"/>
        <v>Wastewalker Helm</v>
      </c>
      <c r="AD19" s="1388" t="str">
        <f t="shared" si="0"/>
        <v>Merciless Gladiator's Leather Helm</v>
      </c>
    </row>
    <row r="20" spans="1:35">
      <c r="A20" s="686" t="s">
        <v>461</v>
      </c>
      <c r="B20" s="674">
        <v>29044</v>
      </c>
      <c r="C20" s="674">
        <v>1</v>
      </c>
      <c r="D20" s="674"/>
      <c r="E20" s="674">
        <v>28</v>
      </c>
      <c r="F20" s="674">
        <v>78</v>
      </c>
      <c r="G20" s="675"/>
      <c r="H20" s="675">
        <v>14</v>
      </c>
      <c r="I20" s="674"/>
      <c r="J20" s="674"/>
      <c r="K20" s="674"/>
      <c r="L20" s="674">
        <v>39</v>
      </c>
      <c r="M20" s="675"/>
      <c r="N20" s="675"/>
      <c r="O20" s="674"/>
      <c r="P20" s="674" t="s">
        <v>1077</v>
      </c>
      <c r="Q20" s="674" t="s">
        <v>1063</v>
      </c>
      <c r="R20" s="674" t="s">
        <v>1055</v>
      </c>
      <c r="S20" s="674" t="s">
        <v>671</v>
      </c>
      <c r="T20" s="673"/>
      <c r="U20" s="47"/>
      <c r="V20" s="683"/>
      <c r="W20" s="683" t="s">
        <v>191</v>
      </c>
      <c r="X20" s="674">
        <v>120</v>
      </c>
      <c r="Y20" s="886">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6">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4">
        <v>17</v>
      </c>
      <c r="AC20" s="710" t="str">
        <f t="shared" si="1"/>
        <v>(Unmodeled)</v>
      </c>
      <c r="AD20" s="1388" t="str">
        <f t="shared" si="0"/>
        <v>Netherblade Facemask</v>
      </c>
    </row>
    <row r="21" spans="1:35">
      <c r="A21" s="686" t="s">
        <v>704</v>
      </c>
      <c r="B21" s="674">
        <v>35367</v>
      </c>
      <c r="C21" s="674">
        <v>1</v>
      </c>
      <c r="D21" s="674"/>
      <c r="E21" s="674">
        <v>20</v>
      </c>
      <c r="F21" s="674">
        <v>20</v>
      </c>
      <c r="G21" s="675">
        <v>10</v>
      </c>
      <c r="H21" s="675"/>
      <c r="I21" s="674"/>
      <c r="J21" s="674"/>
      <c r="K21" s="674"/>
      <c r="L21" s="674">
        <v>36</v>
      </c>
      <c r="M21" s="675"/>
      <c r="N21" s="675">
        <v>24</v>
      </c>
      <c r="O21" s="674"/>
      <c r="P21" s="674" t="s">
        <v>2858</v>
      </c>
      <c r="Q21" s="674" t="s">
        <v>1063</v>
      </c>
      <c r="R21" s="674" t="s">
        <v>1068</v>
      </c>
      <c r="S21" s="674" t="s">
        <v>675</v>
      </c>
      <c r="T21" s="673"/>
      <c r="U21" s="47"/>
      <c r="V21" s="683"/>
      <c r="W21" s="683" t="s">
        <v>631</v>
      </c>
      <c r="X21" s="674">
        <v>115</v>
      </c>
      <c r="Y21" s="886">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6">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4">
        <v>18</v>
      </c>
      <c r="AC21" s="710" t="str">
        <f t="shared" si="1"/>
        <v/>
      </c>
      <c r="AD21" s="1388" t="str">
        <f t="shared" si="0"/>
        <v>Opportunist's Leather Helm</v>
      </c>
    </row>
    <row r="22" spans="1:35" s="210" customFormat="1">
      <c r="A22" s="686" t="s">
        <v>979</v>
      </c>
      <c r="B22" s="674">
        <v>34353</v>
      </c>
      <c r="C22" s="674">
        <v>5</v>
      </c>
      <c r="D22" s="674"/>
      <c r="E22" s="674">
        <v>61</v>
      </c>
      <c r="F22" s="674">
        <v>104</v>
      </c>
      <c r="G22" s="675"/>
      <c r="H22" s="675">
        <v>24</v>
      </c>
      <c r="I22" s="674"/>
      <c r="J22" s="674"/>
      <c r="K22" s="674"/>
      <c r="L22" s="674">
        <v>47</v>
      </c>
      <c r="M22" s="675"/>
      <c r="N22" s="675"/>
      <c r="O22" s="674"/>
      <c r="P22" s="674"/>
      <c r="Q22" s="674" t="s">
        <v>1054</v>
      </c>
      <c r="R22" s="674" t="s">
        <v>1055</v>
      </c>
      <c r="S22" s="674" t="s">
        <v>688</v>
      </c>
      <c r="T22" s="683"/>
      <c r="U22" s="47"/>
      <c r="V22" s="683"/>
      <c r="W22" s="683" t="s">
        <v>191</v>
      </c>
      <c r="X22" s="674">
        <v>159</v>
      </c>
      <c r="Y22" s="886">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6">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4">
        <v>19</v>
      </c>
      <c r="AC22" s="710" t="str">
        <f t="shared" si="1"/>
        <v/>
      </c>
      <c r="AD22" s="1388" t="str">
        <f t="shared" si="0"/>
        <v>Quad Deathblow X44 Goggles</v>
      </c>
    </row>
    <row r="23" spans="1:35">
      <c r="A23" s="673" t="s">
        <v>1078</v>
      </c>
      <c r="B23" s="674">
        <v>27938</v>
      </c>
      <c r="C23" s="674">
        <v>1</v>
      </c>
      <c r="D23" s="674"/>
      <c r="E23" s="674">
        <v>35</v>
      </c>
      <c r="F23" s="674">
        <v>58</v>
      </c>
      <c r="G23" s="675"/>
      <c r="H23" s="675">
        <v>15</v>
      </c>
      <c r="I23" s="674"/>
      <c r="J23" s="674"/>
      <c r="K23" s="674"/>
      <c r="L23" s="674">
        <v>34</v>
      </c>
      <c r="M23" s="675"/>
      <c r="N23" s="675"/>
      <c r="O23" s="674"/>
      <c r="P23" s="674"/>
      <c r="Q23" s="674" t="s">
        <v>1047</v>
      </c>
      <c r="R23" s="674"/>
      <c r="S23" s="674" t="s">
        <v>690</v>
      </c>
      <c r="T23" s="683"/>
      <c r="U23" s="47"/>
      <c r="V23" s="683"/>
      <c r="W23" s="683" t="s">
        <v>631</v>
      </c>
      <c r="X23" s="674">
        <v>115</v>
      </c>
      <c r="Y23" s="886">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6">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4">
        <v>20</v>
      </c>
      <c r="AC23" s="710" t="str">
        <f t="shared" si="1"/>
        <v/>
      </c>
      <c r="AD23" s="1388" t="str">
        <f t="shared" si="0"/>
        <v>Savage Mask of the Lynx Lord</v>
      </c>
    </row>
    <row r="24" spans="1:35">
      <c r="A24" s="673" t="s">
        <v>997</v>
      </c>
      <c r="B24" s="674">
        <v>31027</v>
      </c>
      <c r="C24" s="674">
        <v>3</v>
      </c>
      <c r="D24" s="674"/>
      <c r="E24" s="674">
        <v>45</v>
      </c>
      <c r="F24" s="674">
        <v>92</v>
      </c>
      <c r="G24" s="675">
        <v>28</v>
      </c>
      <c r="H24" s="675">
        <v>15</v>
      </c>
      <c r="I24" s="674"/>
      <c r="J24" s="674"/>
      <c r="K24" s="674"/>
      <c r="L24" s="674">
        <v>55</v>
      </c>
      <c r="M24" s="675"/>
      <c r="N24" s="675"/>
      <c r="O24" s="674"/>
      <c r="P24" s="674" t="s">
        <v>998</v>
      </c>
      <c r="Q24" s="674" t="s">
        <v>1050</v>
      </c>
      <c r="R24" s="674" t="s">
        <v>2019</v>
      </c>
      <c r="S24" s="674" t="s">
        <v>683</v>
      </c>
      <c r="T24" s="683"/>
      <c r="U24" s="47"/>
      <c r="V24" s="683"/>
      <c r="W24" s="683" t="s">
        <v>191</v>
      </c>
      <c r="X24" s="674">
        <v>146</v>
      </c>
      <c r="Y24" s="886">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6">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4">
        <v>21</v>
      </c>
      <c r="AC24" s="710" t="str">
        <f t="shared" si="1"/>
        <v/>
      </c>
      <c r="AD24" s="1388" t="str">
        <f t="shared" si="0"/>
        <v>Slayer's Helm</v>
      </c>
    </row>
    <row r="25" spans="1:35">
      <c r="A25" s="673" t="s">
        <v>999</v>
      </c>
      <c r="B25" s="675">
        <v>31109</v>
      </c>
      <c r="C25" s="675">
        <v>1</v>
      </c>
      <c r="D25" s="674"/>
      <c r="E25" s="674">
        <v>24</v>
      </c>
      <c r="F25" s="674">
        <v>60</v>
      </c>
      <c r="G25" s="675"/>
      <c r="H25" s="675">
        <v>13</v>
      </c>
      <c r="I25" s="675"/>
      <c r="J25" s="674"/>
      <c r="K25" s="675"/>
      <c r="L25" s="674">
        <v>18</v>
      </c>
      <c r="M25" s="675"/>
      <c r="N25" s="675"/>
      <c r="O25" s="675"/>
      <c r="P25" s="674"/>
      <c r="Q25" s="674" t="s">
        <v>1000</v>
      </c>
      <c r="R25" s="674" t="s">
        <v>1064</v>
      </c>
      <c r="S25" s="674" t="s">
        <v>674</v>
      </c>
      <c r="T25" s="683"/>
      <c r="U25" s="683"/>
      <c r="V25" s="683"/>
      <c r="W25" s="683" t="s">
        <v>631</v>
      </c>
      <c r="X25" s="675">
        <v>109</v>
      </c>
      <c r="Y25" s="886">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6">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4">
        <v>22</v>
      </c>
      <c r="AC25" s="710" t="str">
        <f t="shared" si="1"/>
        <v/>
      </c>
      <c r="AD25" s="1388" t="str">
        <f t="shared" si="0"/>
        <v>Stealther's Helmet of Second Sight</v>
      </c>
    </row>
    <row r="26" spans="1:35">
      <c r="A26" s="679" t="s">
        <v>1001</v>
      </c>
      <c r="B26" s="674">
        <v>31333</v>
      </c>
      <c r="C26" s="674">
        <v>1</v>
      </c>
      <c r="D26" s="674"/>
      <c r="E26" s="674">
        <v>45</v>
      </c>
      <c r="F26" s="674">
        <v>68</v>
      </c>
      <c r="G26" s="675"/>
      <c r="H26" s="675"/>
      <c r="I26" s="674"/>
      <c r="J26" s="674"/>
      <c r="K26" s="674"/>
      <c r="L26" s="674">
        <v>27</v>
      </c>
      <c r="M26" s="675"/>
      <c r="N26" s="675"/>
      <c r="O26" s="674"/>
      <c r="P26" s="674"/>
      <c r="Q26" s="674" t="s">
        <v>1047</v>
      </c>
      <c r="R26" s="674"/>
      <c r="S26" s="674" t="s">
        <v>673</v>
      </c>
      <c r="T26" s="47"/>
      <c r="U26" s="47"/>
      <c r="V26" s="47"/>
      <c r="W26" s="47" t="s">
        <v>191</v>
      </c>
      <c r="X26" s="674">
        <v>100</v>
      </c>
      <c r="Y26" s="886">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6">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4">
        <v>23</v>
      </c>
      <c r="AC26" s="710" t="str">
        <f t="shared" si="1"/>
        <v/>
      </c>
      <c r="AD26" s="1388" t="str">
        <f t="shared" si="0"/>
        <v>The Night Watchman</v>
      </c>
    </row>
    <row r="27" spans="1:35">
      <c r="A27" s="673" t="s">
        <v>1524</v>
      </c>
      <c r="B27" s="674">
        <v>33701</v>
      </c>
      <c r="C27" s="674">
        <v>3</v>
      </c>
      <c r="D27" s="674"/>
      <c r="E27" s="674">
        <v>31</v>
      </c>
      <c r="F27" s="674">
        <v>52</v>
      </c>
      <c r="G27" s="675">
        <v>21</v>
      </c>
      <c r="H27" s="675">
        <v>12</v>
      </c>
      <c r="I27" s="674"/>
      <c r="J27" s="674">
        <v>84</v>
      </c>
      <c r="K27" s="674"/>
      <c r="L27" s="674">
        <v>65</v>
      </c>
      <c r="M27" s="675"/>
      <c r="N27" s="675">
        <v>25</v>
      </c>
      <c r="O27" s="674"/>
      <c r="P27" s="674" t="s">
        <v>1067</v>
      </c>
      <c r="Q27" s="674" t="s">
        <v>1063</v>
      </c>
      <c r="R27" s="674" t="s">
        <v>1068</v>
      </c>
      <c r="S27" s="674" t="s">
        <v>676</v>
      </c>
      <c r="T27" s="47"/>
      <c r="U27" s="47"/>
      <c r="V27" s="47"/>
      <c r="W27" s="47" t="s">
        <v>191</v>
      </c>
      <c r="X27" s="674">
        <v>146</v>
      </c>
      <c r="Y27" s="886">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6">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4">
        <v>24</v>
      </c>
      <c r="AC27" s="710" t="str">
        <f t="shared" si="1"/>
        <v/>
      </c>
      <c r="AD27" s="1388" t="str">
        <f t="shared" si="0"/>
        <v>Vengeful Gladiator's Leather Helm</v>
      </c>
      <c r="AE27" s="125"/>
      <c r="AI27" s="129"/>
    </row>
    <row r="28" spans="1:35">
      <c r="A28" s="673" t="s">
        <v>1002</v>
      </c>
      <c r="B28" s="674">
        <v>28224</v>
      </c>
      <c r="C28" s="674">
        <v>1</v>
      </c>
      <c r="D28" s="674"/>
      <c r="E28" s="674"/>
      <c r="F28" s="674">
        <v>56</v>
      </c>
      <c r="G28" s="675">
        <v>22</v>
      </c>
      <c r="H28" s="675">
        <v>18</v>
      </c>
      <c r="I28" s="674"/>
      <c r="J28" s="674"/>
      <c r="K28" s="674"/>
      <c r="L28" s="674">
        <v>30</v>
      </c>
      <c r="M28" s="675"/>
      <c r="N28" s="675"/>
      <c r="O28" s="674"/>
      <c r="P28" s="674" t="s">
        <v>1003</v>
      </c>
      <c r="Q28" s="674" t="s">
        <v>1054</v>
      </c>
      <c r="R28" s="674" t="s">
        <v>1064</v>
      </c>
      <c r="S28" s="674" t="s">
        <v>690</v>
      </c>
      <c r="T28" s="47"/>
      <c r="U28" s="47"/>
      <c r="V28" s="47"/>
      <c r="W28" s="47" t="s">
        <v>631</v>
      </c>
      <c r="X28" s="674">
        <v>115</v>
      </c>
      <c r="Y28" s="886">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6">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4">
        <v>25</v>
      </c>
      <c r="AC28" s="710" t="str">
        <f t="shared" si="1"/>
        <v/>
      </c>
      <c r="AD28" s="1388" t="str">
        <f t="shared" si="0"/>
        <v>Wastewalker Helm</v>
      </c>
    </row>
    <row r="29" spans="1:35">
      <c r="A29" s="673" t="str">
        <f>'Gear &amp; Buffs'!$B$156</f>
        <v>(Unmodeled)</v>
      </c>
      <c r="B29" s="674"/>
      <c r="C29" s="674"/>
      <c r="D29" s="674">
        <f>'Gear &amp; Buffs'!$D$156</f>
        <v>0</v>
      </c>
      <c r="E29" s="674">
        <f>'Gear &amp; Buffs'!$E$156</f>
        <v>0</v>
      </c>
      <c r="F29" s="674">
        <f>'Gear &amp; Buffs'!$I$156</f>
        <v>0</v>
      </c>
      <c r="G29" s="675">
        <f>'Gear &amp; Buffs'!$G$156</f>
        <v>0</v>
      </c>
      <c r="H29" s="675">
        <f>'Gear &amp; Buffs'!$H$156</f>
        <v>0</v>
      </c>
      <c r="I29" s="674">
        <f>'Gear &amp; Buffs'!$P$156</f>
        <v>0</v>
      </c>
      <c r="J29" s="674">
        <f>'Gear &amp; Buffs'!$Q$156</f>
        <v>0</v>
      </c>
      <c r="K29" s="674">
        <f>'Gear &amp; Buffs'!$L$156</f>
        <v>0</v>
      </c>
      <c r="L29" s="674">
        <f>'Gear &amp; Buffs'!$F$156</f>
        <v>0</v>
      </c>
      <c r="M29" s="675">
        <f>'Gear &amp; Buffs'!$K$156</f>
        <v>0</v>
      </c>
      <c r="N29" s="675">
        <f>'Gear &amp; Buffs'!$J$156</f>
        <v>0</v>
      </c>
      <c r="O29" s="689">
        <f>'Gear &amp; Buffs'!M156</f>
        <v>0</v>
      </c>
      <c r="P29" s="674"/>
      <c r="Q29" s="674" t="str">
        <f>'Gear &amp; Buffs'!$R$156</f>
        <v>0 0 0 0</v>
      </c>
      <c r="R29" s="690">
        <f>'Gear &amp; Buffs'!S156</f>
        <v>0</v>
      </c>
      <c r="S29" s="674"/>
      <c r="T29" s="47"/>
      <c r="U29" s="47"/>
      <c r="V29" s="47"/>
      <c r="W29" s="47"/>
      <c r="X29" s="674"/>
      <c r="Y29" s="886">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6"/>
      <c r="AA29" s="677">
        <f>MAX($AA$1:$AA28)+1</f>
        <v>17</v>
      </c>
      <c r="AB29" s="734">
        <v>26</v>
      </c>
      <c r="AC29" s="710" t="str">
        <f t="shared" si="1"/>
        <v/>
      </c>
    </row>
    <row r="30" spans="1:35">
      <c r="A30" s="686" t="s">
        <v>2206</v>
      </c>
      <c r="B30" s="705"/>
      <c r="C30" s="705"/>
      <c r="D30" s="706"/>
      <c r="E30" s="706"/>
      <c r="F30" s="706"/>
      <c r="G30" s="705"/>
      <c r="H30" s="705"/>
      <c r="I30" s="705"/>
      <c r="J30" s="674"/>
      <c r="K30" s="705"/>
      <c r="L30" s="706"/>
      <c r="M30" s="705"/>
      <c r="N30" s="705"/>
      <c r="O30" s="705"/>
      <c r="P30" s="705"/>
      <c r="Q30" s="674" t="s">
        <v>1047</v>
      </c>
      <c r="R30" s="674"/>
      <c r="S30" s="675"/>
      <c r="T30" s="47"/>
      <c r="U30" s="47"/>
      <c r="V30" s="47"/>
      <c r="W30" s="47"/>
      <c r="X30" s="705"/>
      <c r="Y30" s="707"/>
      <c r="Z30" s="676"/>
      <c r="AA30" s="677"/>
      <c r="AB30" s="734">
        <v>27</v>
      </c>
      <c r="AC30" s="710"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4">
        <v>28</v>
      </c>
      <c r="AC31" s="710" t="str">
        <f t="shared" si="1"/>
        <v/>
      </c>
    </row>
    <row r="32" spans="1:35">
      <c r="S32" s="114"/>
      <c r="X32" s="125"/>
    </row>
    <row r="33" spans="1:29" ht="23.25" thickBot="1">
      <c r="A33" s="725" t="s">
        <v>1004</v>
      </c>
      <c r="B33" s="726" t="s">
        <v>1933</v>
      </c>
      <c r="C33" s="726" t="s">
        <v>2795</v>
      </c>
      <c r="D33" s="727" t="s">
        <v>1213</v>
      </c>
      <c r="E33" s="727" t="s">
        <v>1214</v>
      </c>
      <c r="F33" s="727" t="s">
        <v>767</v>
      </c>
      <c r="G33" s="726" t="s">
        <v>2139</v>
      </c>
      <c r="H33" s="726" t="s">
        <v>2138</v>
      </c>
      <c r="I33" s="726" t="s">
        <v>770</v>
      </c>
      <c r="J33" s="728" t="s">
        <v>769</v>
      </c>
      <c r="K33" s="726" t="s">
        <v>759</v>
      </c>
      <c r="L33" s="727" t="s">
        <v>1215</v>
      </c>
      <c r="M33" s="726" t="s">
        <v>264</v>
      </c>
      <c r="N33" s="726" t="s">
        <v>1216</v>
      </c>
      <c r="O33" s="726" t="s">
        <v>1286</v>
      </c>
      <c r="P33" s="726" t="s">
        <v>1045</v>
      </c>
      <c r="Q33" s="727" t="s">
        <v>1046</v>
      </c>
      <c r="R33" s="727" t="s">
        <v>1940</v>
      </c>
      <c r="S33" s="727" t="s">
        <v>665</v>
      </c>
      <c r="T33" s="726"/>
      <c r="U33" s="726"/>
      <c r="V33" s="726"/>
      <c r="W33" s="726" t="s">
        <v>920</v>
      </c>
      <c r="X33" s="726"/>
      <c r="Y33" s="729" t="s">
        <v>265</v>
      </c>
      <c r="Z33" s="730"/>
      <c r="AA33" s="730">
        <v>0</v>
      </c>
      <c r="AB33" s="862"/>
      <c r="AC33" s="731" t="s">
        <v>1688</v>
      </c>
    </row>
    <row r="34" spans="1:29">
      <c r="A34" s="691" t="s">
        <v>1005</v>
      </c>
      <c r="B34" s="692">
        <v>2585</v>
      </c>
      <c r="C34" s="692">
        <v>1</v>
      </c>
      <c r="D34" s="692"/>
      <c r="E34" s="692"/>
      <c r="F34" s="692">
        <v>28</v>
      </c>
      <c r="G34" s="693"/>
      <c r="H34" s="693"/>
      <c r="I34" s="693"/>
      <c r="J34" s="693"/>
      <c r="K34" s="693"/>
      <c r="L34" s="692"/>
      <c r="M34" s="693">
        <v>12</v>
      </c>
      <c r="N34" s="693"/>
      <c r="O34" s="693"/>
      <c r="P34" s="693"/>
      <c r="Q34" s="693"/>
      <c r="R34" s="693"/>
      <c r="S34" s="693" t="s">
        <v>1688</v>
      </c>
      <c r="T34" s="711"/>
      <c r="U34" s="711"/>
      <c r="V34" s="711"/>
      <c r="W34" s="711" t="b">
        <v>0</v>
      </c>
      <c r="X34" s="711"/>
      <c r="Y34" s="886">
        <f>($D34*dpsStr+$E34*dpsAgi+$G34*dpsCrit+$H34*dpsHit+$F34*dpsAP+$I34*dpsHaste+$J34*dpsArmor+$K34*dpsExp)-'Gear &amp; Buffs'!$AF$27</f>
        <v>-90.944483629165461</v>
      </c>
      <c r="Z34" s="712"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3"/>
      <c r="AC34" s="715" t="str">
        <f>" "</f>
        <v xml:space="preserve"> </v>
      </c>
    </row>
    <row r="35" spans="1:29">
      <c r="A35" s="673" t="s">
        <v>464</v>
      </c>
      <c r="B35" s="674">
        <v>3003</v>
      </c>
      <c r="C35" s="674">
        <v>1</v>
      </c>
      <c r="D35" s="674"/>
      <c r="E35" s="674"/>
      <c r="F35" s="674">
        <v>34</v>
      </c>
      <c r="G35" s="675"/>
      <c r="H35" s="675">
        <v>16</v>
      </c>
      <c r="I35" s="675"/>
      <c r="J35" s="675"/>
      <c r="K35" s="675"/>
      <c r="L35" s="674"/>
      <c r="M35" s="675"/>
      <c r="N35" s="675"/>
      <c r="O35" s="675"/>
      <c r="P35" s="675"/>
      <c r="Q35" s="675"/>
      <c r="R35" s="674"/>
      <c r="S35" s="675" t="s">
        <v>1688</v>
      </c>
      <c r="T35" s="713"/>
      <c r="U35" s="713"/>
      <c r="V35" s="713"/>
      <c r="W35" s="713" t="b">
        <v>0</v>
      </c>
      <c r="X35" s="713"/>
      <c r="Y35" s="886">
        <f>($D35*dpsStr+$E35*dpsAgi+$G35*dpsCrit+$H35*dpsHit+$F35*dpsAP+$I35*dpsHaste+$J35*dpsArmor+$K35*dpsExp)-'Gear &amp; Buffs'!$AF$27</f>
        <v>0</v>
      </c>
      <c r="Z35" s="683"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4">
        <v>1</v>
      </c>
      <c r="AC35" s="710" t="str">
        <f>IF(ISNA(INDEX($A$34:$A$38,MATCH(AB35,AA$34:AA$38,0))), "", INDEX($A$34:$A$38,MATCH(AB35,AA$34:AA$38,0)))</f>
        <v>Death's Embrace (+28ap +12 dodge)</v>
      </c>
    </row>
    <row r="36" spans="1:29">
      <c r="A36" s="673" t="s">
        <v>2157</v>
      </c>
      <c r="B36" s="674">
        <v>2999</v>
      </c>
      <c r="C36" s="674">
        <v>1</v>
      </c>
      <c r="D36" s="674"/>
      <c r="E36" s="674"/>
      <c r="F36" s="674"/>
      <c r="G36" s="675"/>
      <c r="H36" s="675"/>
      <c r="I36" s="675"/>
      <c r="J36" s="675"/>
      <c r="K36" s="675"/>
      <c r="L36" s="674"/>
      <c r="M36" s="675">
        <v>17</v>
      </c>
      <c r="N36" s="675"/>
      <c r="O36" s="675">
        <v>16</v>
      </c>
      <c r="P36" s="675"/>
      <c r="Q36" s="675"/>
      <c r="R36" s="675"/>
      <c r="S36" s="675" t="s">
        <v>1688</v>
      </c>
      <c r="T36" s="713"/>
      <c r="U36" s="713"/>
      <c r="V36" s="713"/>
      <c r="W36" s="713" t="b">
        <v>1</v>
      </c>
      <c r="X36" s="713"/>
      <c r="Y36" s="886">
        <f>($D36*dpsStr+$E36*dpsAgi+$G36*dpsCrit+$H36*dpsHit+$F36*dpsAP+$I36*dpsHaste+$J36*dpsArmor+$K36*dpsExp)-'Gear &amp; Buffs'!$AF$27</f>
        <v>-100.94972435311001</v>
      </c>
      <c r="Z36" s="683"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4">
        <v>2</v>
      </c>
      <c r="AC36" s="710" t="str">
        <f>IF(ISNA(INDEX($A$34:$A$38,MATCH(AB36,AA$34:AA$38,0))), "", INDEX($A$34:$A$38,MATCH(AB36,AA$34:AA$38,0)))</f>
        <v>Glyph of Ferocity (+16 hit +34ap)</v>
      </c>
    </row>
    <row r="37" spans="1:29">
      <c r="A37" s="673" t="s">
        <v>1103</v>
      </c>
      <c r="B37" s="674">
        <v>2543</v>
      </c>
      <c r="C37" s="674">
        <v>1</v>
      </c>
      <c r="D37" s="674"/>
      <c r="E37" s="674"/>
      <c r="F37" s="674"/>
      <c r="G37" s="675"/>
      <c r="H37" s="675"/>
      <c r="I37" s="675">
        <v>10</v>
      </c>
      <c r="J37" s="675"/>
      <c r="K37" s="675"/>
      <c r="L37" s="674"/>
      <c r="M37" s="675"/>
      <c r="N37" s="675"/>
      <c r="O37" s="675"/>
      <c r="P37" s="675"/>
      <c r="Q37" s="675"/>
      <c r="R37" s="675"/>
      <c r="S37" s="675" t="s">
        <v>1688</v>
      </c>
      <c r="T37" s="713"/>
      <c r="U37" s="713"/>
      <c r="V37" s="713"/>
      <c r="W37" s="713" t="b">
        <v>0</v>
      </c>
      <c r="X37" s="713"/>
      <c r="Y37" s="886">
        <f>($D37*dpsStr+$E37*dpsAgi+$G37*dpsCrit+$H37*dpsHit+$F37*dpsAP+$I37*dpsHaste+$J37*dpsArmor+$K37*dpsExp)-'Gear &amp; Buffs'!$AF$27</f>
        <v>-64.235876962908605</v>
      </c>
      <c r="Z37" s="683"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4">
        <v>3</v>
      </c>
      <c r="AC37" s="710" t="str">
        <f>IF(ISNA(INDEX($A$34:$A$38,MATCH(AB37,AA$34:AA$38,0))), "", INDEX($A$34:$A$38,MATCH(AB37,AA$34:AA$38,0)))</f>
        <v>Libram of Rapidity (+10 Haste)</v>
      </c>
    </row>
    <row r="38" spans="1:29">
      <c r="A38" s="673" t="s">
        <v>1104</v>
      </c>
      <c r="B38" s="674">
        <v>1508</v>
      </c>
      <c r="C38" s="674">
        <v>1</v>
      </c>
      <c r="D38" s="674"/>
      <c r="E38" s="674">
        <v>8</v>
      </c>
      <c r="F38" s="674"/>
      <c r="G38" s="675"/>
      <c r="H38" s="675"/>
      <c r="I38" s="675"/>
      <c r="J38" s="675"/>
      <c r="K38" s="675"/>
      <c r="L38" s="674"/>
      <c r="M38" s="675"/>
      <c r="N38" s="675"/>
      <c r="O38" s="675"/>
      <c r="P38" s="675"/>
      <c r="Q38" s="675"/>
      <c r="R38" s="675"/>
      <c r="S38" s="675" t="s">
        <v>1688</v>
      </c>
      <c r="T38" s="713"/>
      <c r="U38" s="713"/>
      <c r="V38" s="713"/>
      <c r="W38" s="713" t="b">
        <v>0</v>
      </c>
      <c r="X38" s="713"/>
      <c r="Y38" s="886">
        <f>($D38*dpsStr+$E38*dpsAgi+$G38*dpsCrit+$H38*dpsHit+$F38*dpsAP+$I38*dpsHaste+$J38*dpsArmor+$K38*dpsExp)-'Gear &amp; Buffs'!$AF$27</f>
        <v>-94.332021398430243</v>
      </c>
      <c r="Z38" s="683"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4">
        <v>4</v>
      </c>
      <c r="AC38" s="710" t="str">
        <f>IF(ISNA(INDEX($A$34:$A$38,MATCH(AB38,AA$34:AA$38,0))), "", INDEX($A$34:$A$38,MATCH(AB38,AA$34:AA$38,0)))</f>
        <v>Libram of Voracity (+8 Agility)</v>
      </c>
    </row>
    <row r="39" spans="1:29">
      <c r="A39" s="686" t="s">
        <v>2206</v>
      </c>
      <c r="B39" s="674"/>
      <c r="C39" s="674"/>
      <c r="D39" s="674"/>
      <c r="E39" s="674"/>
      <c r="F39" s="674"/>
      <c r="G39" s="675"/>
      <c r="H39" s="675"/>
      <c r="I39" s="675"/>
      <c r="J39" s="675"/>
      <c r="K39" s="675"/>
      <c r="L39" s="674"/>
      <c r="M39" s="675"/>
      <c r="N39" s="675"/>
      <c r="O39" s="675"/>
      <c r="P39" s="675"/>
      <c r="Q39" s="675"/>
      <c r="R39" s="675"/>
      <c r="S39" s="675"/>
      <c r="T39" s="713"/>
      <c r="U39" s="713"/>
      <c r="V39" s="713"/>
      <c r="W39" s="713"/>
      <c r="X39" s="713"/>
      <c r="Y39" s="714"/>
      <c r="Z39" s="683"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77"/>
      <c r="AB39" s="864">
        <v>5</v>
      </c>
      <c r="AC39" s="710"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8" sqref="A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0"/>
      <c r="U1" s="698" t="s">
        <v>265</v>
      </c>
      <c r="V1" s="739">
        <v>0</v>
      </c>
      <c r="W1" s="739"/>
      <c r="X1" s="696"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87">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87">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3"/>
      <c r="X3" s="709" t="str">
        <f>" "</f>
        <v xml:space="preserve"> </v>
      </c>
      <c r="Y3" s="1388"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87">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 t="shared" ref="X4:X39" si="1">IF(ISNA(INDEX($A$2:$A$37,MATCH(W4,V$2:V$37,0))), "", INDEX($A$2:$A$37,MATCH(W4,V$2:V$37,0)))</f>
        <v>Adamantine Chain of the Unbroken</v>
      </c>
      <c r="Y4" s="1388"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87">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4">
        <v>2</v>
      </c>
      <c r="X5" s="710" t="str">
        <f t="shared" si="1"/>
        <v>Blood Guard's Necklace of Ferocity</v>
      </c>
      <c r="Y5" s="1388"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87">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4">
        <v>3</v>
      </c>
      <c r="X6" s="710" t="str">
        <f t="shared" ref="X6" si="2">IF(ISNA(INDEX($A$2:$A$37,MATCH(W6,V$2:V$37,0))), "", INDEX($A$2:$A$37,MATCH(W6,V$2:V$37,0)))</f>
        <v>Bone Chain Necklace</v>
      </c>
      <c r="Y6" s="1388"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87">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4">
        <v>4</v>
      </c>
      <c r="X7" s="710" t="str">
        <f t="shared" si="1"/>
        <v>Braided Eternium Chain (w/ +28crit)</v>
      </c>
      <c r="Y7" s="1388" t="str">
        <f t="shared" si="0"/>
        <v>Braided Eternium Chain (w/o +28crit)</v>
      </c>
    </row>
    <row r="8" spans="1:25">
      <c r="A8" s="718"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87">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Braided Eternium Chain (w/o +28crit)</v>
      </c>
      <c r="Y8" s="1388"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87">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4">
        <v>6</v>
      </c>
      <c r="X9" s="710" t="str">
        <f t="shared" si="1"/>
        <v>Choker of Vile Intent</v>
      </c>
      <c r="Y9" s="1388"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87">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Earthen Mark of Razing</v>
      </c>
      <c r="Y10" s="1388"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87">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Haramad's Bargain</v>
      </c>
      <c r="Y11" s="1388"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87">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4">
        <v>9</v>
      </c>
      <c r="X12" s="710" t="str">
        <f t="shared" si="1"/>
        <v>Insignia of the Mag'hari Hero</v>
      </c>
      <c r="Y12" s="1388"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87">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Jagged Bark Pendant</v>
      </c>
      <c r="Y13" s="1388"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87">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4">
        <v>11</v>
      </c>
      <c r="X14" s="710" t="str">
        <f t="shared" si="1"/>
        <v>Natasha's Choker</v>
      </c>
      <c r="Y14" s="1388"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87">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Necklace of Trophies</v>
      </c>
      <c r="Y15" s="1388"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87">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4">
        <v>13</v>
      </c>
      <c r="X16" s="710" t="str">
        <f t="shared" si="1"/>
        <v>Pendant of Triumph</v>
      </c>
      <c r="Y16" s="1388"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87">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Prestor's Talisman of Connivery</v>
      </c>
      <c r="Y17" s="1388"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87">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4">
        <v>15</v>
      </c>
      <c r="X18" s="710" t="str">
        <f t="shared" si="1"/>
        <v>Saberclaw Talisman</v>
      </c>
      <c r="Y18" s="1388"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87">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4">
        <v>16</v>
      </c>
      <c r="X19" s="710" t="str">
        <f t="shared" si="1"/>
        <v>Talon Lord's Collar</v>
      </c>
      <c r="Y19" s="1388"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87">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4">
        <v>17</v>
      </c>
      <c r="X20" s="710" t="str">
        <f t="shared" si="1"/>
        <v>Traitor's Noose</v>
      </c>
      <c r="Y20" s="1388"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87">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4">
        <v>18</v>
      </c>
      <c r="X21" s="710" t="str">
        <f t="shared" si="1"/>
        <v>Worgen Claw Necklace</v>
      </c>
      <c r="Y21" s="1388"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87">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(Unmodeled)</v>
      </c>
      <c r="Y22" s="1388"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87">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4">
        <v>20</v>
      </c>
      <c r="X23" s="710" t="str">
        <f t="shared" si="1"/>
        <v/>
      </c>
      <c r="Y23" s="1388"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87">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4">
        <v>21</v>
      </c>
      <c r="X24" s="710" t="str">
        <f t="shared" si="1"/>
        <v/>
      </c>
      <c r="Y24" s="1388"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87">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
      </c>
      <c r="Y25" s="1388"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87">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87">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
      </c>
      <c r="Y27" s="1388"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87">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87">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87">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4">
        <v>27</v>
      </c>
      <c r="X30" s="710" t="str">
        <f t="shared" si="1"/>
        <v/>
      </c>
      <c r="Y30" s="1388"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87">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87">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87">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4">
        <v>30</v>
      </c>
      <c r="X33" s="710" t="str">
        <f t="shared" si="1"/>
        <v/>
      </c>
      <c r="Y33" s="1388"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87">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8"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87">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4">
        <v>32</v>
      </c>
      <c r="X35" s="710" t="str">
        <f t="shared" si="1"/>
        <v/>
      </c>
      <c r="Y35" s="1388"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87">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4">
        <v>33</v>
      </c>
      <c r="X36" s="710" t="str">
        <f t="shared" si="1"/>
        <v/>
      </c>
      <c r="Y36" s="1388"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6">
        <f>'Gear &amp; Buffs'!$S$157</f>
        <v>0</v>
      </c>
      <c r="S37" s="116"/>
      <c r="T37" s="114"/>
      <c r="U37" s="887">
        <f>($D37*dpsStr+$E37*dpsAgi+$G37*dpsCrit+$H37*dpsHit+$F37*dpsAP+$I37*dpsHaste+$J37*dpsArmor+$K37*dpsExp+IF(MID($Q37,1,1)+MID($Q37,3,1)+MID($Q37,5,1)&gt;0,VLOOKUP('Gear &amp; Buffs'!$B$33,GenSocketStats,18,FALSE)+IF(MID($Q37,1,1)+MID($Q37,3,1)+MID($Q37,5,1)&gt;1,VLOOKUP('Gear &amp; Buffs'!$B$34,GenSocketStats,18,FALSE),0),0))-'Gear &amp; Buffs'!$AF$32</f>
        <v>-131.45268488090505</v>
      </c>
      <c r="V37" s="677">
        <f>MAX($V$1:V36)+1</f>
        <v>19</v>
      </c>
      <c r="W37" s="734">
        <v>34</v>
      </c>
      <c r="X37" s="710" t="str">
        <f t="shared" si="1"/>
        <v/>
      </c>
      <c r="Y37" s="1388"/>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17"/>
      <c r="V38" s="677"/>
      <c r="W38" s="734">
        <v>35</v>
      </c>
      <c r="X38" s="710" t="str">
        <f t="shared" si="1"/>
        <v/>
      </c>
    </row>
    <row r="39" spans="1:25">
      <c r="R39" s="114"/>
      <c r="S39" s="114"/>
      <c r="T39" s="114"/>
      <c r="V39" s="677"/>
      <c r="W39" s="734">
        <v>36</v>
      </c>
      <c r="X39" s="710" t="str">
        <f t="shared" si="1"/>
        <v/>
      </c>
    </row>
    <row r="40" spans="1:25">
      <c r="R40" s="114"/>
      <c r="S40" s="114"/>
      <c r="T40" s="114"/>
      <c r="W40" s="674"/>
      <c r="X40" s="673"/>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4"/>
      <c r="X41" s="673"/>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0"/>
      <c r="U1" s="698" t="s">
        <v>265</v>
      </c>
      <c r="V1" s="739">
        <v>0</v>
      </c>
      <c r="W1" s="739"/>
      <c r="X1" s="696" t="s">
        <v>659</v>
      </c>
    </row>
    <row r="2" spans="1:25">
      <c r="A2" s="691" t="s">
        <v>2809</v>
      </c>
      <c r="B2" s="692">
        <v>30938</v>
      </c>
      <c r="C2" s="692">
        <v>1</v>
      </c>
      <c r="D2" s="692"/>
      <c r="E2" s="692"/>
      <c r="F2" s="692">
        <v>44</v>
      </c>
      <c r="G2" s="693">
        <v>21</v>
      </c>
      <c r="H2" s="693">
        <v>10</v>
      </c>
      <c r="I2" s="692"/>
      <c r="J2" s="692"/>
      <c r="K2" s="692"/>
      <c r="L2" s="692">
        <v>11</v>
      </c>
      <c r="M2" s="693"/>
      <c r="N2" s="693"/>
      <c r="O2" s="692"/>
      <c r="P2" s="692"/>
      <c r="Q2" s="692" t="s">
        <v>1032</v>
      </c>
      <c r="R2" s="692"/>
      <c r="S2" s="692" t="s">
        <v>674</v>
      </c>
      <c r="T2" s="692"/>
      <c r="U2" s="887">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Azurestrike Shoulders</v>
      </c>
    </row>
    <row r="3" spans="1:25">
      <c r="A3" s="732" t="s">
        <v>1568</v>
      </c>
      <c r="B3" s="692">
        <v>29148</v>
      </c>
      <c r="C3" s="692">
        <v>1</v>
      </c>
      <c r="D3" s="692"/>
      <c r="E3" s="692">
        <v>20</v>
      </c>
      <c r="F3" s="692">
        <v>70</v>
      </c>
      <c r="G3" s="693"/>
      <c r="H3" s="693">
        <v>15</v>
      </c>
      <c r="I3" s="692"/>
      <c r="J3" s="692"/>
      <c r="K3" s="692"/>
      <c r="L3" s="692"/>
      <c r="M3" s="693"/>
      <c r="N3" s="693"/>
      <c r="O3" s="692"/>
      <c r="P3" s="692"/>
      <c r="Q3" s="692" t="s">
        <v>1032</v>
      </c>
      <c r="R3" s="692"/>
      <c r="S3" s="692" t="s">
        <v>675</v>
      </c>
      <c r="T3" s="692"/>
      <c r="U3" s="887">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3"/>
      <c r="X3" s="709" t="str">
        <f>" "</f>
        <v xml:space="preserve"> </v>
      </c>
      <c r="Y3" s="1388" t="str">
        <f t="shared" ref="Y3:Y29" si="0">HYPERLINK("https://tbc.wowhead.com/item="&amp;B3,A3)</f>
        <v>Blackened Leather Spaulders</v>
      </c>
    </row>
    <row r="4" spans="1:25">
      <c r="A4" s="673" t="s">
        <v>1444</v>
      </c>
      <c r="B4" s="674">
        <v>28755</v>
      </c>
      <c r="C4" s="674">
        <v>1</v>
      </c>
      <c r="D4" s="674"/>
      <c r="E4" s="674"/>
      <c r="F4" s="674">
        <v>58</v>
      </c>
      <c r="G4" s="675">
        <v>21</v>
      </c>
      <c r="H4" s="675">
        <v>13</v>
      </c>
      <c r="I4" s="674"/>
      <c r="J4" s="674"/>
      <c r="K4" s="674"/>
      <c r="L4" s="674">
        <v>30</v>
      </c>
      <c r="M4" s="675"/>
      <c r="N4" s="675"/>
      <c r="O4" s="674"/>
      <c r="P4" s="674"/>
      <c r="Q4" s="674" t="s">
        <v>1445</v>
      </c>
      <c r="R4" s="674" t="s">
        <v>1446</v>
      </c>
      <c r="S4" s="674" t="s">
        <v>671</v>
      </c>
      <c r="T4" s="674"/>
      <c r="U4" s="887">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4">
        <v>1</v>
      </c>
      <c r="X4" s="710" t="str">
        <f t="shared" ref="X4:X32" si="1">IF(ISNA(INDEX($A$2:$A$30,MATCH(W4,V$2:V$30,0))), "", INDEX($A$2:$A$30,MATCH(W4,V$2:V$30,0)))</f>
        <v>Azurestrike Shoulders</v>
      </c>
      <c r="Y4" s="1388" t="str">
        <f t="shared" si="0"/>
        <v>Bladed Shoulderpads of the Merciless</v>
      </c>
    </row>
    <row r="5" spans="1:25">
      <c r="A5" s="673" t="s">
        <v>2337</v>
      </c>
      <c r="B5" s="674">
        <v>22479</v>
      </c>
      <c r="C5" s="674">
        <v>1</v>
      </c>
      <c r="D5" s="674">
        <v>22</v>
      </c>
      <c r="E5" s="674">
        <v>22</v>
      </c>
      <c r="F5" s="674"/>
      <c r="G5" s="675">
        <v>14</v>
      </c>
      <c r="H5" s="675">
        <v>10</v>
      </c>
      <c r="I5" s="674"/>
      <c r="J5" s="674"/>
      <c r="K5" s="674"/>
      <c r="L5" s="674">
        <v>15</v>
      </c>
      <c r="M5" s="675"/>
      <c r="N5" s="675"/>
      <c r="O5" s="674"/>
      <c r="P5" s="674" t="s">
        <v>2334</v>
      </c>
      <c r="Q5" s="674" t="s">
        <v>1032</v>
      </c>
      <c r="R5" s="674"/>
      <c r="S5" s="674" t="s">
        <v>667</v>
      </c>
      <c r="T5" s="674"/>
      <c r="U5" s="887">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4">
        <v>2</v>
      </c>
      <c r="X5" s="710" t="str">
        <f t="shared" si="1"/>
        <v>Blackened Leather Spaulders</v>
      </c>
      <c r="Y5" s="1388" t="str">
        <f t="shared" si="0"/>
        <v>Bonescythe Pauldrons</v>
      </c>
    </row>
    <row r="6" spans="1:25">
      <c r="A6" s="673" t="s">
        <v>1486</v>
      </c>
      <c r="B6" s="674">
        <v>35035</v>
      </c>
      <c r="C6" s="674">
        <v>5</v>
      </c>
      <c r="D6" s="674"/>
      <c r="E6" s="674">
        <v>39</v>
      </c>
      <c r="F6" s="674">
        <v>38</v>
      </c>
      <c r="G6" s="675">
        <v>31</v>
      </c>
      <c r="H6" s="675"/>
      <c r="I6" s="674"/>
      <c r="J6" s="674"/>
      <c r="K6" s="674"/>
      <c r="L6" s="674">
        <v>55</v>
      </c>
      <c r="M6" s="675"/>
      <c r="N6" s="675">
        <v>25</v>
      </c>
      <c r="O6" s="674"/>
      <c r="P6" s="674" t="s">
        <v>1067</v>
      </c>
      <c r="Q6" s="674" t="s">
        <v>1044</v>
      </c>
      <c r="R6" s="674" t="s">
        <v>1451</v>
      </c>
      <c r="S6" s="674" t="s">
        <v>676</v>
      </c>
      <c r="T6" s="674"/>
      <c r="U6" s="887">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4">
        <v>3</v>
      </c>
      <c r="X6" s="710" t="str">
        <f t="shared" si="1"/>
        <v>Bladed Shoulderpads of the Merciless</v>
      </c>
      <c r="Y6" s="1388" t="str">
        <f t="shared" si="0"/>
        <v>Brutal Gladiator's Leather Spaulders</v>
      </c>
    </row>
    <row r="7" spans="1:25">
      <c r="A7" s="673" t="s">
        <v>1447</v>
      </c>
      <c r="B7" s="674">
        <v>30149</v>
      </c>
      <c r="C7" s="674">
        <v>2</v>
      </c>
      <c r="D7" s="674"/>
      <c r="E7" s="674">
        <v>34</v>
      </c>
      <c r="F7" s="674">
        <v>54</v>
      </c>
      <c r="G7" s="675">
        <v>13</v>
      </c>
      <c r="H7" s="675"/>
      <c r="I7" s="674"/>
      <c r="J7" s="674"/>
      <c r="K7" s="674"/>
      <c r="L7" s="674">
        <v>37</v>
      </c>
      <c r="M7" s="675"/>
      <c r="N7" s="675"/>
      <c r="O7" s="674"/>
      <c r="P7" s="674" t="s">
        <v>1062</v>
      </c>
      <c r="Q7" s="674" t="s">
        <v>1036</v>
      </c>
      <c r="R7" s="674" t="s">
        <v>1448</v>
      </c>
      <c r="S7" s="674" t="s">
        <v>679</v>
      </c>
      <c r="T7" s="674"/>
      <c r="U7" s="887">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Bonescythe Pauldrons</v>
      </c>
      <c r="Y7" s="1388" t="str">
        <f t="shared" si="0"/>
        <v>Deathmantle Shoulderpads</v>
      </c>
    </row>
    <row r="8" spans="1:25">
      <c r="A8" s="673" t="s">
        <v>965</v>
      </c>
      <c r="B8" s="674">
        <v>34392</v>
      </c>
      <c r="C8" s="674">
        <v>5</v>
      </c>
      <c r="D8" s="674">
        <v>38</v>
      </c>
      <c r="E8" s="674">
        <v>38</v>
      </c>
      <c r="F8" s="674"/>
      <c r="G8" s="675">
        <v>20</v>
      </c>
      <c r="H8" s="675"/>
      <c r="I8" s="674"/>
      <c r="J8" s="674">
        <v>105</v>
      </c>
      <c r="K8" s="674"/>
      <c r="L8" s="674">
        <v>38</v>
      </c>
      <c r="M8" s="675"/>
      <c r="N8" s="675"/>
      <c r="O8" s="674"/>
      <c r="P8" s="674"/>
      <c r="Q8" s="674" t="s">
        <v>1036</v>
      </c>
      <c r="R8" s="674" t="s">
        <v>22</v>
      </c>
      <c r="S8" s="674" t="s">
        <v>870</v>
      </c>
      <c r="T8" s="674"/>
      <c r="U8" s="887">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Expedition Scout's Epaulets</v>
      </c>
      <c r="Y8" s="1388" t="str">
        <f t="shared" si="0"/>
        <v>Demontooth Shoulderpads</v>
      </c>
    </row>
    <row r="9" spans="1:25">
      <c r="A9" s="673" t="s">
        <v>1449</v>
      </c>
      <c r="B9" s="674">
        <v>25790</v>
      </c>
      <c r="C9" s="674">
        <v>1</v>
      </c>
      <c r="D9" s="674"/>
      <c r="E9" s="674">
        <v>25</v>
      </c>
      <c r="F9" s="674">
        <v>50</v>
      </c>
      <c r="G9" s="675"/>
      <c r="H9" s="675">
        <v>24</v>
      </c>
      <c r="I9" s="674"/>
      <c r="J9" s="674"/>
      <c r="K9" s="674"/>
      <c r="L9" s="674"/>
      <c r="M9" s="675"/>
      <c r="N9" s="675"/>
      <c r="O9" s="674"/>
      <c r="P9" s="674"/>
      <c r="Q9" s="674" t="s">
        <v>1032</v>
      </c>
      <c r="R9" s="674"/>
      <c r="S9" s="674" t="s">
        <v>674</v>
      </c>
      <c r="T9" s="674"/>
      <c r="U9" s="887">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Gladiator's Leather Spaulders</v>
      </c>
      <c r="Y9" s="1388" t="str">
        <f t="shared" si="0"/>
        <v>Expedition Scout's Epaulets</v>
      </c>
    </row>
    <row r="10" spans="1:25">
      <c r="A10" s="673" t="s">
        <v>1450</v>
      </c>
      <c r="B10" s="674">
        <v>25832</v>
      </c>
      <c r="C10" s="674">
        <v>1</v>
      </c>
      <c r="D10" s="674"/>
      <c r="E10" s="674">
        <v>29</v>
      </c>
      <c r="F10" s="674">
        <v>18</v>
      </c>
      <c r="G10" s="675">
        <v>21</v>
      </c>
      <c r="H10" s="675"/>
      <c r="I10" s="674"/>
      <c r="J10" s="674"/>
      <c r="K10" s="674"/>
      <c r="L10" s="674">
        <v>39</v>
      </c>
      <c r="M10" s="675"/>
      <c r="N10" s="675">
        <v>23</v>
      </c>
      <c r="O10" s="674"/>
      <c r="P10" s="674" t="s">
        <v>1067</v>
      </c>
      <c r="Q10" s="674" t="s">
        <v>1044</v>
      </c>
      <c r="R10" s="674" t="s">
        <v>1451</v>
      </c>
      <c r="S10" s="674" t="s">
        <v>676</v>
      </c>
      <c r="T10" s="674"/>
      <c r="U10" s="887">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Mantle of Perenolde</v>
      </c>
      <c r="Y10" s="1388" t="str">
        <f t="shared" si="0"/>
        <v>Gladiator's Leather Spaulders</v>
      </c>
    </row>
    <row r="11" spans="1:25">
      <c r="A11" s="673" t="s">
        <v>1455</v>
      </c>
      <c r="B11" s="674">
        <v>32377</v>
      </c>
      <c r="C11" s="674">
        <v>3</v>
      </c>
      <c r="D11" s="674"/>
      <c r="E11" s="674"/>
      <c r="F11" s="674">
        <v>94</v>
      </c>
      <c r="G11" s="675">
        <v>33</v>
      </c>
      <c r="H11" s="675">
        <v>22</v>
      </c>
      <c r="I11" s="674"/>
      <c r="J11" s="674"/>
      <c r="K11" s="674"/>
      <c r="L11" s="674">
        <v>34</v>
      </c>
      <c r="M11" s="675"/>
      <c r="N11" s="675"/>
      <c r="O11" s="674"/>
      <c r="P11" s="674"/>
      <c r="Q11" s="674" t="s">
        <v>1032</v>
      </c>
      <c r="R11" s="674"/>
      <c r="S11" s="674" t="s">
        <v>682</v>
      </c>
      <c r="T11" s="674"/>
      <c r="U11" s="887">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Mantle of Shadowy Embrace</v>
      </c>
      <c r="Y11" s="1388" t="str">
        <f t="shared" si="0"/>
        <v>Mantle of Darkness</v>
      </c>
    </row>
    <row r="12" spans="1:25">
      <c r="A12" s="673" t="s">
        <v>1452</v>
      </c>
      <c r="B12" s="674">
        <v>27434</v>
      </c>
      <c r="C12" s="674">
        <v>1</v>
      </c>
      <c r="D12" s="674"/>
      <c r="E12" s="674"/>
      <c r="F12" s="674">
        <v>20</v>
      </c>
      <c r="G12" s="675">
        <v>23</v>
      </c>
      <c r="H12" s="675">
        <v>23</v>
      </c>
      <c r="I12" s="674"/>
      <c r="J12" s="674"/>
      <c r="K12" s="674"/>
      <c r="L12" s="674">
        <v>24</v>
      </c>
      <c r="M12" s="675"/>
      <c r="N12" s="675"/>
      <c r="O12" s="674"/>
      <c r="P12" s="674"/>
      <c r="Q12" s="674" t="s">
        <v>1453</v>
      </c>
      <c r="R12" s="674" t="s">
        <v>1454</v>
      </c>
      <c r="S12" s="674" t="s">
        <v>672</v>
      </c>
      <c r="T12" s="674"/>
      <c r="U12" s="887">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4">
        <v>9</v>
      </c>
      <c r="X12" s="710" t="str">
        <f t="shared" si="1"/>
        <v>Mantle of the Unforgiven</v>
      </c>
      <c r="Y12" s="1388" t="str">
        <f t="shared" si="0"/>
        <v>Mantle of Perenolde</v>
      </c>
    </row>
    <row r="13" spans="1:25">
      <c r="A13" s="679" t="s">
        <v>2338</v>
      </c>
      <c r="B13" s="674">
        <v>32080</v>
      </c>
      <c r="C13" s="674">
        <v>1</v>
      </c>
      <c r="D13" s="674"/>
      <c r="E13" s="674">
        <v>39</v>
      </c>
      <c r="F13" s="674">
        <v>34</v>
      </c>
      <c r="G13" s="675"/>
      <c r="H13" s="675"/>
      <c r="I13" s="674"/>
      <c r="J13" s="674"/>
      <c r="K13" s="674"/>
      <c r="L13" s="674">
        <v>33</v>
      </c>
      <c r="M13" s="675"/>
      <c r="N13" s="675"/>
      <c r="O13" s="674"/>
      <c r="P13" s="674"/>
      <c r="Q13" s="674" t="s">
        <v>1032</v>
      </c>
      <c r="R13" s="674"/>
      <c r="S13" s="674" t="s">
        <v>690</v>
      </c>
      <c r="T13" s="674"/>
      <c r="U13" s="887">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4">
        <v>10</v>
      </c>
      <c r="X13" s="710" t="str">
        <f t="shared" si="1"/>
        <v>Netherblade Shoulderpads</v>
      </c>
      <c r="Y13" s="1388" t="str">
        <f t="shared" si="0"/>
        <v>Mantle of Shadowy Embrace</v>
      </c>
    </row>
    <row r="14" spans="1:25">
      <c r="A14" s="673" t="s">
        <v>2339</v>
      </c>
      <c r="B14" s="674">
        <v>27831</v>
      </c>
      <c r="C14" s="674">
        <v>1</v>
      </c>
      <c r="D14" s="674"/>
      <c r="E14" s="674"/>
      <c r="F14" s="674">
        <v>52</v>
      </c>
      <c r="G14" s="675">
        <v>21</v>
      </c>
      <c r="H14" s="675">
        <v>12</v>
      </c>
      <c r="I14" s="674"/>
      <c r="J14" s="674"/>
      <c r="K14" s="674"/>
      <c r="L14" s="674">
        <v>25</v>
      </c>
      <c r="M14" s="675"/>
      <c r="N14" s="675"/>
      <c r="O14" s="674"/>
      <c r="P14" s="674"/>
      <c r="Q14" s="674" t="s">
        <v>1032</v>
      </c>
      <c r="R14" s="674"/>
      <c r="S14" s="674" t="s">
        <v>690</v>
      </c>
      <c r="T14" s="674"/>
      <c r="U14" s="887">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4">
        <v>11</v>
      </c>
      <c r="X14" s="710" t="str">
        <f t="shared" si="1"/>
        <v>Opportunist's Leather Spaulders</v>
      </c>
      <c r="Y14" s="1388" t="str">
        <f t="shared" si="0"/>
        <v>Mantle of the Unforgiven</v>
      </c>
    </row>
    <row r="15" spans="1:25">
      <c r="A15" s="673" t="s">
        <v>1456</v>
      </c>
      <c r="B15" s="674">
        <v>32001</v>
      </c>
      <c r="C15" s="674">
        <v>2</v>
      </c>
      <c r="D15" s="674"/>
      <c r="E15" s="674">
        <v>32</v>
      </c>
      <c r="F15" s="674">
        <v>24</v>
      </c>
      <c r="G15" s="675">
        <v>24</v>
      </c>
      <c r="H15" s="675"/>
      <c r="I15" s="674"/>
      <c r="J15" s="674"/>
      <c r="K15" s="674"/>
      <c r="L15" s="674">
        <v>45</v>
      </c>
      <c r="M15" s="675"/>
      <c r="N15" s="675">
        <v>25</v>
      </c>
      <c r="O15" s="674"/>
      <c r="P15" s="674" t="s">
        <v>1067</v>
      </c>
      <c r="Q15" s="674" t="s">
        <v>1044</v>
      </c>
      <c r="R15" s="674" t="s">
        <v>1451</v>
      </c>
      <c r="S15" s="674" t="s">
        <v>676</v>
      </c>
      <c r="T15" s="674"/>
      <c r="U15" s="887">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Shoulderpads of Assassination</v>
      </c>
      <c r="Y15" s="1388" t="str">
        <f t="shared" si="0"/>
        <v>Merciless Gladiator's Leather Spaulders</v>
      </c>
    </row>
    <row r="16" spans="1:25">
      <c r="A16" s="673" t="s">
        <v>1457</v>
      </c>
      <c r="B16" s="674">
        <v>29047</v>
      </c>
      <c r="C16" s="674">
        <v>1</v>
      </c>
      <c r="D16" s="674"/>
      <c r="E16" s="674">
        <v>20</v>
      </c>
      <c r="F16" s="674">
        <v>52</v>
      </c>
      <c r="G16" s="675"/>
      <c r="H16" s="675">
        <v>13</v>
      </c>
      <c r="I16" s="674"/>
      <c r="J16" s="674"/>
      <c r="K16" s="674"/>
      <c r="L16" s="674">
        <v>38</v>
      </c>
      <c r="M16" s="675"/>
      <c r="N16" s="675"/>
      <c r="O16" s="674"/>
      <c r="P16" s="674" t="s">
        <v>1077</v>
      </c>
      <c r="Q16" s="674" t="s">
        <v>1453</v>
      </c>
      <c r="R16" s="674" t="s">
        <v>1458</v>
      </c>
      <c r="S16" s="674" t="s">
        <v>677</v>
      </c>
      <c r="T16" s="674"/>
      <c r="U16" s="887">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4">
        <v>13</v>
      </c>
      <c r="X16" s="710" t="str">
        <f t="shared" si="1"/>
        <v>Sun-Gilded Shouldercaps</v>
      </c>
      <c r="Y16" s="1388" t="str">
        <f t="shared" si="0"/>
        <v>Netherblade Shoulderpads</v>
      </c>
    </row>
    <row r="17" spans="1:31" s="47" customFormat="1">
      <c r="A17" s="673" t="s">
        <v>701</v>
      </c>
      <c r="B17" s="674">
        <v>35369</v>
      </c>
      <c r="C17" s="674">
        <v>1</v>
      </c>
      <c r="D17" s="674"/>
      <c r="E17" s="674">
        <v>13</v>
      </c>
      <c r="F17" s="674">
        <v>22</v>
      </c>
      <c r="G17" s="675">
        <v>11</v>
      </c>
      <c r="H17" s="675"/>
      <c r="I17" s="674"/>
      <c r="J17" s="674"/>
      <c r="K17" s="674"/>
      <c r="L17" s="674">
        <v>31</v>
      </c>
      <c r="M17" s="675"/>
      <c r="N17" s="675">
        <v>13</v>
      </c>
      <c r="O17" s="674"/>
      <c r="P17" s="674" t="s">
        <v>2858</v>
      </c>
      <c r="Q17" s="674" t="s">
        <v>1044</v>
      </c>
      <c r="R17" s="674" t="s">
        <v>1451</v>
      </c>
      <c r="S17" s="674" t="s">
        <v>675</v>
      </c>
      <c r="T17" s="674"/>
      <c r="U17" s="887">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4">
        <v>14</v>
      </c>
      <c r="X17" s="710" t="str">
        <f t="shared" si="1"/>
        <v>Talbuk Hide Spaulders</v>
      </c>
      <c r="Y17" s="1388" t="str">
        <f t="shared" si="0"/>
        <v>Opportunist's Leather Spaulders</v>
      </c>
    </row>
    <row r="18" spans="1:31" s="47" customFormat="1">
      <c r="A18" s="673" t="s">
        <v>1459</v>
      </c>
      <c r="B18" s="674">
        <v>30917</v>
      </c>
      <c r="C18" s="674">
        <v>3</v>
      </c>
      <c r="D18" s="674"/>
      <c r="E18" s="674">
        <v>28</v>
      </c>
      <c r="F18" s="674">
        <v>76</v>
      </c>
      <c r="G18" s="675">
        <v>23</v>
      </c>
      <c r="H18" s="675"/>
      <c r="I18" s="674"/>
      <c r="J18" s="674"/>
      <c r="K18" s="674"/>
      <c r="L18" s="674">
        <v>55</v>
      </c>
      <c r="M18" s="675"/>
      <c r="N18" s="675"/>
      <c r="O18" s="674"/>
      <c r="P18" s="674"/>
      <c r="Q18" s="674" t="s">
        <v>1032</v>
      </c>
      <c r="R18" s="674"/>
      <c r="S18" s="674" t="s">
        <v>683</v>
      </c>
      <c r="T18" s="674"/>
      <c r="U18" s="887">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Wastewalker Shoulderpads</v>
      </c>
      <c r="Y18" s="1388" t="str">
        <f t="shared" si="0"/>
        <v>Razorfury Mantle</v>
      </c>
    </row>
    <row r="19" spans="1:31" s="47" customFormat="1">
      <c r="A19" s="673" t="s">
        <v>1460</v>
      </c>
      <c r="B19" s="674">
        <v>27776</v>
      </c>
      <c r="C19" s="674">
        <v>1</v>
      </c>
      <c r="D19" s="674"/>
      <c r="E19" s="674">
        <v>25</v>
      </c>
      <c r="F19" s="674">
        <v>42</v>
      </c>
      <c r="G19" s="675"/>
      <c r="H19" s="675"/>
      <c r="I19" s="674"/>
      <c r="J19" s="674"/>
      <c r="K19" s="674"/>
      <c r="L19" s="674">
        <v>25</v>
      </c>
      <c r="M19" s="675"/>
      <c r="N19" s="675"/>
      <c r="O19" s="674"/>
      <c r="P19" s="674" t="s">
        <v>2145</v>
      </c>
      <c r="Q19" s="674" t="s">
        <v>1445</v>
      </c>
      <c r="R19" s="674" t="s">
        <v>1458</v>
      </c>
      <c r="S19" s="674" t="s">
        <v>672</v>
      </c>
      <c r="T19" s="674"/>
      <c r="U19" s="887">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4">
        <v>16</v>
      </c>
      <c r="X19" s="710" t="str">
        <f t="shared" si="1"/>
        <v>(Unmodeled)</v>
      </c>
      <c r="Y19" s="1388" t="str">
        <f t="shared" si="0"/>
        <v>Shoulderpads of Assassination</v>
      </c>
    </row>
    <row r="20" spans="1:31" s="47" customFormat="1">
      <c r="A20" s="673" t="s">
        <v>1301</v>
      </c>
      <c r="B20" s="674">
        <v>33300</v>
      </c>
      <c r="C20" s="674">
        <v>4</v>
      </c>
      <c r="D20" s="674"/>
      <c r="E20" s="674">
        <v>33</v>
      </c>
      <c r="F20" s="674">
        <v>68</v>
      </c>
      <c r="G20" s="675"/>
      <c r="H20" s="675">
        <v>16</v>
      </c>
      <c r="I20" s="674"/>
      <c r="J20" s="674"/>
      <c r="K20" s="674"/>
      <c r="L20" s="674">
        <v>39</v>
      </c>
      <c r="M20" s="675"/>
      <c r="N20" s="675"/>
      <c r="O20" s="674"/>
      <c r="P20" s="674"/>
      <c r="Q20" s="674" t="s">
        <v>1032</v>
      </c>
      <c r="R20" s="674"/>
      <c r="S20" s="674" t="s">
        <v>663</v>
      </c>
      <c r="T20" s="674"/>
      <c r="U20" s="887">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
      </c>
      <c r="Y20" s="1388" t="str">
        <f t="shared" si="0"/>
        <v>Shoulderpads of Dancing Blades</v>
      </c>
    </row>
    <row r="21" spans="1:31">
      <c r="A21" s="673" t="s">
        <v>1142</v>
      </c>
      <c r="B21" s="674">
        <v>34613</v>
      </c>
      <c r="C21" s="674">
        <v>5</v>
      </c>
      <c r="D21" s="674"/>
      <c r="E21" s="674">
        <v>35</v>
      </c>
      <c r="F21" s="674">
        <v>62</v>
      </c>
      <c r="G21" s="675"/>
      <c r="H21" s="675">
        <v>23</v>
      </c>
      <c r="I21" s="674"/>
      <c r="J21" s="674"/>
      <c r="K21" s="674"/>
      <c r="L21" s="674">
        <v>32</v>
      </c>
      <c r="M21" s="675"/>
      <c r="N21" s="675"/>
      <c r="O21" s="674"/>
      <c r="P21" s="674"/>
      <c r="Q21" s="674" t="s">
        <v>1032</v>
      </c>
      <c r="R21" s="674"/>
      <c r="S21" s="674" t="s">
        <v>690</v>
      </c>
      <c r="T21" s="674"/>
      <c r="U21" s="887">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4">
        <v>18</v>
      </c>
      <c r="X21" s="710" t="str">
        <f t="shared" si="1"/>
        <v/>
      </c>
      <c r="Y21" s="1388" t="str">
        <f t="shared" si="0"/>
        <v>Shoulderpads of the Silvermoon Retainer</v>
      </c>
    </row>
    <row r="22" spans="1:31" s="129" customFormat="1">
      <c r="A22" s="673" t="s">
        <v>1461</v>
      </c>
      <c r="B22" s="674">
        <v>30055</v>
      </c>
      <c r="C22" s="674">
        <v>2</v>
      </c>
      <c r="D22" s="674"/>
      <c r="E22" s="674">
        <v>33</v>
      </c>
      <c r="F22" s="674">
        <v>60</v>
      </c>
      <c r="G22" s="675">
        <v>16</v>
      </c>
      <c r="H22" s="675"/>
      <c r="I22" s="674"/>
      <c r="J22" s="674"/>
      <c r="K22" s="674">
        <v>10</v>
      </c>
      <c r="L22" s="674">
        <v>28</v>
      </c>
      <c r="M22" s="675"/>
      <c r="N22" s="675"/>
      <c r="O22" s="674"/>
      <c r="P22" s="674"/>
      <c r="Q22" s="674" t="s">
        <v>1034</v>
      </c>
      <c r="R22" s="674" t="s">
        <v>1462</v>
      </c>
      <c r="S22" s="674" t="s">
        <v>666</v>
      </c>
      <c r="T22" s="674"/>
      <c r="U22" s="887">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
      </c>
      <c r="Y22" s="1388" t="str">
        <f t="shared" si="0"/>
        <v>Shoulderpads of the Stranger</v>
      </c>
    </row>
    <row r="23" spans="1:31">
      <c r="A23" s="673" t="s">
        <v>872</v>
      </c>
      <c r="B23" s="674">
        <v>34195</v>
      </c>
      <c r="C23" s="674">
        <v>5</v>
      </c>
      <c r="D23" s="674"/>
      <c r="E23" s="674">
        <v>33</v>
      </c>
      <c r="F23" s="674">
        <v>90</v>
      </c>
      <c r="G23" s="675"/>
      <c r="H23" s="675">
        <v>26</v>
      </c>
      <c r="I23" s="674">
        <v>30</v>
      </c>
      <c r="J23" s="674"/>
      <c r="K23" s="674"/>
      <c r="L23" s="674">
        <v>45</v>
      </c>
      <c r="M23" s="675"/>
      <c r="N23" s="675"/>
      <c r="O23" s="674"/>
      <c r="P23" s="674"/>
      <c r="Q23" s="674" t="s">
        <v>1032</v>
      </c>
      <c r="R23" s="674"/>
      <c r="S23" s="674" t="s">
        <v>870</v>
      </c>
      <c r="T23" s="674"/>
      <c r="U23" s="887">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4">
        <v>20</v>
      </c>
      <c r="X23" s="710" t="str">
        <f t="shared" si="1"/>
        <v/>
      </c>
      <c r="Y23" s="1388" t="str">
        <f t="shared" si="0"/>
        <v>Shoulderpads of Vehemence</v>
      </c>
    </row>
    <row r="24" spans="1:31">
      <c r="A24" s="673" t="s">
        <v>1463</v>
      </c>
      <c r="B24" s="674">
        <v>31030</v>
      </c>
      <c r="C24" s="674">
        <v>3</v>
      </c>
      <c r="D24" s="674"/>
      <c r="E24" s="674">
        <v>34</v>
      </c>
      <c r="F24" s="674">
        <v>68</v>
      </c>
      <c r="G24" s="675"/>
      <c r="H24" s="675"/>
      <c r="I24" s="674"/>
      <c r="J24" s="674">
        <v>175</v>
      </c>
      <c r="K24" s="674"/>
      <c r="L24" s="674">
        <v>37</v>
      </c>
      <c r="M24" s="675"/>
      <c r="N24" s="675"/>
      <c r="O24" s="674"/>
      <c r="P24" s="674" t="s">
        <v>998</v>
      </c>
      <c r="Q24" s="674" t="s">
        <v>1040</v>
      </c>
      <c r="R24" s="674" t="s">
        <v>1464</v>
      </c>
      <c r="S24" s="674" t="s">
        <v>682</v>
      </c>
      <c r="T24" s="674"/>
      <c r="U24" s="887">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4">
        <v>21</v>
      </c>
      <c r="X24" s="710" t="str">
        <f t="shared" si="1"/>
        <v/>
      </c>
      <c r="Y24" s="1388" t="str">
        <f t="shared" si="0"/>
        <v>Slayer's Shoulderpads</v>
      </c>
    </row>
    <row r="25" spans="1:31">
      <c r="A25" s="673" t="s">
        <v>1465</v>
      </c>
      <c r="B25" s="674">
        <v>27995</v>
      </c>
      <c r="C25" s="674">
        <v>1</v>
      </c>
      <c r="D25" s="674"/>
      <c r="E25" s="674">
        <v>25</v>
      </c>
      <c r="F25" s="674">
        <v>48</v>
      </c>
      <c r="G25" s="675"/>
      <c r="H25" s="675">
        <v>15</v>
      </c>
      <c r="I25" s="674"/>
      <c r="J25" s="674"/>
      <c r="K25" s="674"/>
      <c r="L25" s="674">
        <v>26</v>
      </c>
      <c r="M25" s="675"/>
      <c r="N25" s="675"/>
      <c r="O25" s="674"/>
      <c r="P25" s="674"/>
      <c r="Q25" s="674" t="s">
        <v>1032</v>
      </c>
      <c r="R25" s="674"/>
      <c r="S25" s="674" t="s">
        <v>672</v>
      </c>
      <c r="T25" s="674"/>
      <c r="U25" s="887">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4">
        <v>22</v>
      </c>
      <c r="X25" s="710" t="str">
        <f t="shared" si="1"/>
        <v/>
      </c>
      <c r="Y25" s="1388" t="str">
        <f t="shared" si="0"/>
        <v>Sun-Gilded Shouldercaps</v>
      </c>
    </row>
    <row r="26" spans="1:31">
      <c r="A26" s="673" t="s">
        <v>660</v>
      </c>
      <c r="B26" s="674">
        <v>32581</v>
      </c>
      <c r="C26" s="674">
        <v>3</v>
      </c>
      <c r="D26" s="674"/>
      <c r="E26" s="674">
        <v>29</v>
      </c>
      <c r="F26" s="674">
        <v>74</v>
      </c>
      <c r="G26" s="675"/>
      <c r="H26" s="675"/>
      <c r="I26" s="674">
        <v>38</v>
      </c>
      <c r="J26" s="674"/>
      <c r="K26" s="674"/>
      <c r="L26" s="674">
        <v>34</v>
      </c>
      <c r="M26" s="675"/>
      <c r="N26" s="675"/>
      <c r="O26" s="674"/>
      <c r="P26" s="674"/>
      <c r="Q26" s="674" t="s">
        <v>1032</v>
      </c>
      <c r="R26" s="674"/>
      <c r="S26" s="674" t="s">
        <v>686</v>
      </c>
      <c r="T26" s="674"/>
      <c r="U26" s="887">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Swiftstrike Shoulders</v>
      </c>
    </row>
    <row r="27" spans="1:31">
      <c r="A27" s="673" t="s">
        <v>1466</v>
      </c>
      <c r="B27" s="674">
        <v>29147</v>
      </c>
      <c r="C27" s="674">
        <v>1</v>
      </c>
      <c r="D27" s="674"/>
      <c r="E27" s="674">
        <v>20</v>
      </c>
      <c r="F27" s="674">
        <v>70</v>
      </c>
      <c r="G27" s="675"/>
      <c r="H27" s="675">
        <v>15</v>
      </c>
      <c r="I27" s="674"/>
      <c r="J27" s="674"/>
      <c r="K27" s="674"/>
      <c r="L27" s="674"/>
      <c r="M27" s="675"/>
      <c r="N27" s="675"/>
      <c r="O27" s="674"/>
      <c r="P27" s="674"/>
      <c r="Q27" s="674" t="s">
        <v>1032</v>
      </c>
      <c r="R27" s="674"/>
      <c r="S27" s="674" t="s">
        <v>675</v>
      </c>
      <c r="T27" s="674"/>
      <c r="U27" s="887">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4">
        <v>24</v>
      </c>
      <c r="X27" s="710" t="str">
        <f t="shared" si="1"/>
        <v/>
      </c>
      <c r="Y27" s="1388" t="str">
        <f t="shared" si="0"/>
        <v>Talbuk Hide Spaulders</v>
      </c>
    </row>
    <row r="28" spans="1:31">
      <c r="A28" s="720" t="s">
        <v>1525</v>
      </c>
      <c r="B28" s="723">
        <v>33703</v>
      </c>
      <c r="C28" s="723">
        <v>3</v>
      </c>
      <c r="D28" s="723"/>
      <c r="E28" s="723">
        <v>34</v>
      </c>
      <c r="F28" s="723">
        <v>30</v>
      </c>
      <c r="G28" s="724">
        <v>27</v>
      </c>
      <c r="H28" s="724"/>
      <c r="I28" s="723"/>
      <c r="J28" s="723"/>
      <c r="K28" s="723"/>
      <c r="L28" s="723">
        <v>49</v>
      </c>
      <c r="M28" s="724"/>
      <c r="N28" s="724">
        <v>25</v>
      </c>
      <c r="O28" s="723"/>
      <c r="P28" s="723" t="s">
        <v>1067</v>
      </c>
      <c r="Q28" s="723" t="s">
        <v>1044</v>
      </c>
      <c r="R28" s="723" t="s">
        <v>1451</v>
      </c>
      <c r="S28" s="674" t="s">
        <v>676</v>
      </c>
      <c r="T28" s="674"/>
      <c r="U28" s="887">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77" t="s">
        <v>690</v>
      </c>
      <c r="T29" s="674"/>
      <c r="U29" s="887">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4">
        <v>26</v>
      </c>
      <c r="X29" s="710" t="str">
        <f t="shared" si="1"/>
        <v/>
      </c>
      <c r="Y29" s="1388"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6">
        <f>'Gear &amp; Buffs'!$S$158</f>
        <v>0</v>
      </c>
      <c r="S30" s="677"/>
      <c r="T30" s="678"/>
      <c r="U30" s="887">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77">
        <f>MAX($V$1:V29)+1</f>
        <v>16</v>
      </c>
      <c r="W30" s="734">
        <v>27</v>
      </c>
      <c r="X30" s="710" t="str">
        <f t="shared" si="1"/>
        <v/>
      </c>
      <c r="Y30" s="1388"/>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77"/>
      <c r="T31" s="675"/>
      <c r="U31" s="707"/>
      <c r="V31" s="677"/>
      <c r="W31" s="734">
        <v>28</v>
      </c>
      <c r="X31" s="710" t="str">
        <f t="shared" si="1"/>
        <v/>
      </c>
      <c r="Z31" s="114"/>
      <c r="AA31" s="129"/>
      <c r="AB31" s="129"/>
      <c r="AC31" s="129"/>
    </row>
    <row r="32" spans="1:31">
      <c r="J32" s="114"/>
      <c r="R32" s="114"/>
      <c r="U32" s="219"/>
      <c r="V32" s="677"/>
      <c r="W32" s="734">
        <v>29</v>
      </c>
      <c r="X32" s="710" t="str">
        <f t="shared" si="1"/>
        <v/>
      </c>
      <c r="Z32" s="114"/>
      <c r="AA32" s="129"/>
      <c r="AB32" s="129"/>
      <c r="AC32" s="129"/>
    </row>
    <row r="33" spans="1:29">
      <c r="J33" s="114"/>
      <c r="R33" s="114"/>
      <c r="U33" s="735"/>
      <c r="V33" s="114"/>
      <c r="W33" s="723"/>
      <c r="X33" s="720"/>
      <c r="Z33" s="114"/>
      <c r="AA33" s="129"/>
      <c r="AB33" s="129"/>
      <c r="AC33" s="129"/>
    </row>
    <row r="34" spans="1:29" s="47" customFormat="1" ht="23.25" thickBot="1">
      <c r="A34" s="736" t="s">
        <v>1015</v>
      </c>
      <c r="B34" s="726" t="s">
        <v>1933</v>
      </c>
      <c r="C34" s="726" t="s">
        <v>2795</v>
      </c>
      <c r="D34" s="727" t="s">
        <v>1213</v>
      </c>
      <c r="E34" s="727" t="s">
        <v>1214</v>
      </c>
      <c r="F34" s="727" t="s">
        <v>767</v>
      </c>
      <c r="G34" s="726" t="s">
        <v>2139</v>
      </c>
      <c r="H34" s="726" t="s">
        <v>2138</v>
      </c>
      <c r="I34" s="726" t="s">
        <v>770</v>
      </c>
      <c r="J34" s="728" t="s">
        <v>769</v>
      </c>
      <c r="K34" s="726" t="s">
        <v>759</v>
      </c>
      <c r="L34" s="727" t="s">
        <v>1215</v>
      </c>
      <c r="M34" s="726" t="s">
        <v>264</v>
      </c>
      <c r="N34" s="726" t="s">
        <v>1216</v>
      </c>
      <c r="O34" s="726" t="s">
        <v>1286</v>
      </c>
      <c r="P34" s="726" t="s">
        <v>1045</v>
      </c>
      <c r="Q34" s="727" t="s">
        <v>1046</v>
      </c>
      <c r="R34" s="727" t="s">
        <v>1940</v>
      </c>
      <c r="S34" s="727" t="s">
        <v>665</v>
      </c>
      <c r="T34" s="727" t="s">
        <v>920</v>
      </c>
      <c r="U34" s="729" t="s">
        <v>265</v>
      </c>
      <c r="V34" s="825">
        <v>0</v>
      </c>
      <c r="W34" s="737"/>
      <c r="X34" s="738" t="s">
        <v>1688</v>
      </c>
      <c r="Z34" s="114"/>
      <c r="AA34" s="114"/>
      <c r="AB34" s="114"/>
      <c r="AC34" s="114"/>
    </row>
    <row r="35" spans="1:29">
      <c r="A35" s="691" t="s">
        <v>1476</v>
      </c>
      <c r="B35" s="693">
        <v>2997</v>
      </c>
      <c r="C35" s="693">
        <v>1</v>
      </c>
      <c r="D35" s="692"/>
      <c r="E35" s="692"/>
      <c r="F35" s="692">
        <v>20</v>
      </c>
      <c r="G35" s="693">
        <v>15</v>
      </c>
      <c r="H35" s="693"/>
      <c r="I35" s="693"/>
      <c r="J35" s="693"/>
      <c r="K35" s="693"/>
      <c r="L35" s="692"/>
      <c r="M35" s="693"/>
      <c r="N35" s="693"/>
      <c r="O35" s="693"/>
      <c r="P35" s="693"/>
      <c r="Q35" s="693"/>
      <c r="R35" s="693"/>
      <c r="S35" s="693" t="s">
        <v>1688</v>
      </c>
      <c r="T35" s="693" t="b">
        <v>0</v>
      </c>
      <c r="U35" s="887">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3"/>
      <c r="X35" s="709" t="str">
        <f>" "</f>
        <v xml:space="preserve"> </v>
      </c>
      <c r="Z35" s="114"/>
      <c r="AA35" s="129"/>
      <c r="AB35" s="129"/>
      <c r="AC35" s="129"/>
    </row>
    <row r="36" spans="1:29">
      <c r="A36" s="673" t="s">
        <v>662</v>
      </c>
      <c r="B36" s="675">
        <v>2986</v>
      </c>
      <c r="C36" s="675">
        <v>1</v>
      </c>
      <c r="D36" s="674"/>
      <c r="E36" s="674"/>
      <c r="F36" s="674">
        <v>30</v>
      </c>
      <c r="G36" s="675">
        <v>10</v>
      </c>
      <c r="H36" s="675"/>
      <c r="I36" s="675"/>
      <c r="J36" s="675"/>
      <c r="K36" s="675"/>
      <c r="L36" s="674"/>
      <c r="M36" s="675"/>
      <c r="N36" s="675"/>
      <c r="O36" s="675"/>
      <c r="P36" s="675"/>
      <c r="Q36" s="675"/>
      <c r="R36" s="675"/>
      <c r="S36" s="675" t="s">
        <v>1688</v>
      </c>
      <c r="T36" s="675" t="b">
        <v>0</v>
      </c>
      <c r="U36" s="887">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4">
        <v>1</v>
      </c>
      <c r="X36" s="710" t="str">
        <f t="shared" ref="X36:X42" si="2">IF(ISNA(INDEX($A$35:$A$41,MATCH(W36,V$35:V$41,0))), "", INDEX($A$35:$A$41,MATCH(W36,V$35:V$41,0)))</f>
        <v>Greater Inscription of the Blade (15crit 20ap)</v>
      </c>
      <c r="Z36" s="114"/>
      <c r="AA36" s="129"/>
      <c r="AB36" s="129"/>
      <c r="AC36" s="129"/>
    </row>
    <row r="37" spans="1:29">
      <c r="A37" s="673" t="s">
        <v>2158</v>
      </c>
      <c r="B37" s="674">
        <v>2978</v>
      </c>
      <c r="C37" s="674">
        <v>1</v>
      </c>
      <c r="D37" s="674"/>
      <c r="E37" s="674"/>
      <c r="F37" s="674"/>
      <c r="G37" s="675"/>
      <c r="H37" s="675"/>
      <c r="I37" s="675"/>
      <c r="J37" s="675"/>
      <c r="K37" s="675"/>
      <c r="L37" s="674"/>
      <c r="M37" s="675">
        <v>15</v>
      </c>
      <c r="N37" s="675"/>
      <c r="O37" s="675">
        <v>10</v>
      </c>
      <c r="P37" s="675"/>
      <c r="Q37" s="675"/>
      <c r="R37" s="674"/>
      <c r="S37" s="675" t="s">
        <v>1688</v>
      </c>
      <c r="T37" s="675" t="b">
        <v>1</v>
      </c>
      <c r="U37" s="887">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4">
        <v>2</v>
      </c>
      <c r="X37" s="710" t="str">
        <f t="shared" si="2"/>
        <v>Greater Inscription of Vengeance (10crit 30ap)</v>
      </c>
      <c r="Z37" s="114"/>
    </row>
    <row r="38" spans="1:29">
      <c r="A38" s="673" t="s">
        <v>1408</v>
      </c>
      <c r="B38" s="675">
        <v>2996</v>
      </c>
      <c r="C38" s="675">
        <v>1</v>
      </c>
      <c r="D38" s="674"/>
      <c r="E38" s="674"/>
      <c r="F38" s="674"/>
      <c r="G38" s="675">
        <v>13</v>
      </c>
      <c r="H38" s="675"/>
      <c r="I38" s="675"/>
      <c r="J38" s="675"/>
      <c r="K38" s="675"/>
      <c r="L38" s="674"/>
      <c r="M38" s="675"/>
      <c r="N38" s="675"/>
      <c r="O38" s="675"/>
      <c r="P38" s="675"/>
      <c r="Q38" s="675"/>
      <c r="R38" s="675"/>
      <c r="S38" s="675" t="s">
        <v>1688</v>
      </c>
      <c r="T38" s="675" t="b">
        <v>0</v>
      </c>
      <c r="U38" s="887">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4">
        <v>3</v>
      </c>
      <c r="X38" s="710" t="str">
        <f t="shared" si="2"/>
        <v>Inscription of the Blade(13crit)</v>
      </c>
    </row>
    <row r="39" spans="1:29">
      <c r="A39" s="673" t="s">
        <v>1475</v>
      </c>
      <c r="B39" s="675">
        <v>2983</v>
      </c>
      <c r="C39" s="675">
        <v>1</v>
      </c>
      <c r="D39" s="674"/>
      <c r="E39" s="674"/>
      <c r="F39" s="674">
        <v>26</v>
      </c>
      <c r="G39" s="675"/>
      <c r="H39" s="675"/>
      <c r="I39" s="675"/>
      <c r="J39" s="675"/>
      <c r="K39" s="675"/>
      <c r="L39" s="674"/>
      <c r="M39" s="675"/>
      <c r="N39" s="675"/>
      <c r="O39" s="675"/>
      <c r="P39" s="675"/>
      <c r="Q39" s="675"/>
      <c r="R39" s="675"/>
      <c r="S39" s="675" t="s">
        <v>1688</v>
      </c>
      <c r="T39" s="675" t="b">
        <v>0</v>
      </c>
      <c r="U39" s="887">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4">
        <v>4</v>
      </c>
      <c r="X39" s="710" t="str">
        <f t="shared" si="2"/>
        <v>Inscription of Vengeance (26ap)</v>
      </c>
    </row>
    <row r="40" spans="1:29">
      <c r="A40" s="673" t="s">
        <v>1017</v>
      </c>
      <c r="B40" s="675">
        <v>2717</v>
      </c>
      <c r="C40" s="675">
        <v>1</v>
      </c>
      <c r="D40" s="674"/>
      <c r="E40" s="674"/>
      <c r="F40" s="674">
        <v>26</v>
      </c>
      <c r="G40" s="675">
        <v>14</v>
      </c>
      <c r="H40" s="675"/>
      <c r="I40" s="675"/>
      <c r="J40" s="675"/>
      <c r="K40" s="675"/>
      <c r="L40" s="674"/>
      <c r="M40" s="675"/>
      <c r="N40" s="675"/>
      <c r="O40" s="675"/>
      <c r="P40" s="675"/>
      <c r="Q40" s="675"/>
      <c r="R40" s="675"/>
      <c r="S40" s="675" t="s">
        <v>1688</v>
      </c>
      <c r="T40" s="675" t="b">
        <v>0</v>
      </c>
      <c r="U40" s="887">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4">
        <v>5</v>
      </c>
      <c r="X40" s="710" t="str">
        <f t="shared" si="2"/>
        <v>Might of the Scourge (14crit 26ap)</v>
      </c>
    </row>
    <row r="41" spans="1:29">
      <c r="A41" s="673" t="s">
        <v>743</v>
      </c>
      <c r="B41" s="675">
        <v>2606</v>
      </c>
      <c r="C41" s="675">
        <v>1</v>
      </c>
      <c r="D41" s="674"/>
      <c r="E41" s="674"/>
      <c r="F41" s="674">
        <v>30</v>
      </c>
      <c r="G41" s="675"/>
      <c r="H41" s="675"/>
      <c r="I41" s="675"/>
      <c r="J41" s="675"/>
      <c r="K41" s="675"/>
      <c r="L41" s="674"/>
      <c r="M41" s="675"/>
      <c r="N41" s="675"/>
      <c r="O41" s="675"/>
      <c r="P41" s="675"/>
      <c r="Q41" s="675"/>
      <c r="R41" s="675"/>
      <c r="S41" s="675" t="s">
        <v>1688</v>
      </c>
      <c r="T41" s="675" t="b">
        <v>0</v>
      </c>
      <c r="U41" s="887">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4">
        <v>6</v>
      </c>
      <c r="X41" s="710" t="str">
        <f t="shared" si="2"/>
        <v>Zandalar Signet of Might (30ap)</v>
      </c>
    </row>
    <row r="42" spans="1:29">
      <c r="A42" s="673" t="s">
        <v>2206</v>
      </c>
      <c r="B42" s="675"/>
      <c r="C42" s="675"/>
      <c r="D42" s="674"/>
      <c r="E42" s="674"/>
      <c r="F42" s="674"/>
      <c r="G42" s="675"/>
      <c r="H42" s="675"/>
      <c r="I42" s="675"/>
      <c r="J42" s="675"/>
      <c r="K42" s="675"/>
      <c r="L42" s="674"/>
      <c r="M42" s="675"/>
      <c r="N42" s="675"/>
      <c r="O42" s="675"/>
      <c r="P42" s="675"/>
      <c r="Q42" s="675"/>
      <c r="R42" s="675"/>
      <c r="S42" s="675"/>
      <c r="T42" s="675"/>
      <c r="U42" s="714"/>
      <c r="V42" s="116"/>
      <c r="W42" s="734">
        <v>7</v>
      </c>
      <c r="X42" s="710"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668</v>
      </c>
    </row>
    <row r="2" spans="1:25">
      <c r="A2" s="691" t="s">
        <v>1409</v>
      </c>
      <c r="B2" s="692">
        <v>27878</v>
      </c>
      <c r="C2" s="692">
        <v>1</v>
      </c>
      <c r="D2" s="692"/>
      <c r="E2" s="692">
        <v>15</v>
      </c>
      <c r="F2" s="692">
        <v>36</v>
      </c>
      <c r="G2" s="692"/>
      <c r="H2" s="692">
        <v>17</v>
      </c>
      <c r="I2" s="692"/>
      <c r="J2" s="692"/>
      <c r="K2" s="692"/>
      <c r="L2" s="692">
        <v>15</v>
      </c>
      <c r="M2" s="692"/>
      <c r="N2" s="692"/>
      <c r="O2" s="692"/>
      <c r="P2" s="692"/>
      <c r="Q2" s="692" t="s">
        <v>1032</v>
      </c>
      <c r="R2" s="692"/>
      <c r="S2" s="692" t="s">
        <v>690</v>
      </c>
      <c r="T2" s="692"/>
      <c r="U2" s="887">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Auchenai Death Shroud</v>
      </c>
    </row>
    <row r="3" spans="1:25">
      <c r="A3" s="673" t="s">
        <v>1410</v>
      </c>
      <c r="B3" s="674">
        <v>30729</v>
      </c>
      <c r="C3" s="674">
        <v>1</v>
      </c>
      <c r="D3" s="674"/>
      <c r="E3" s="674"/>
      <c r="F3" s="674">
        <v>60</v>
      </c>
      <c r="G3" s="674">
        <v>30</v>
      </c>
      <c r="H3" s="674"/>
      <c r="I3" s="674"/>
      <c r="J3" s="674"/>
      <c r="K3" s="674"/>
      <c r="L3" s="674"/>
      <c r="M3" s="674"/>
      <c r="N3" s="674"/>
      <c r="O3" s="674"/>
      <c r="P3" s="674"/>
      <c r="Q3" s="674" t="s">
        <v>1032</v>
      </c>
      <c r="R3" s="674"/>
      <c r="S3" s="674" t="s">
        <v>680</v>
      </c>
      <c r="T3" s="674"/>
      <c r="U3" s="887">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4"/>
      <c r="X3" s="710" t="str">
        <f>" "</f>
        <v xml:space="preserve"> </v>
      </c>
      <c r="Y3" s="1388" t="str">
        <f t="shared" ref="Y3:Y35" si="0">HYPERLINK("https://tbc.wowhead.com/item="&amp;B3,A3)</f>
        <v>Black-Iron Battlecloak</v>
      </c>
    </row>
    <row r="4" spans="1:25">
      <c r="A4" s="673" t="s">
        <v>1411</v>
      </c>
      <c r="B4" s="674">
        <v>29382</v>
      </c>
      <c r="C4" s="674">
        <v>1</v>
      </c>
      <c r="D4" s="674"/>
      <c r="E4" s="674">
        <v>23</v>
      </c>
      <c r="F4" s="674">
        <v>48</v>
      </c>
      <c r="G4" s="674"/>
      <c r="H4" s="674"/>
      <c r="I4" s="674"/>
      <c r="J4" s="674"/>
      <c r="K4" s="674"/>
      <c r="L4" s="674">
        <v>22</v>
      </c>
      <c r="M4" s="674"/>
      <c r="N4" s="674"/>
      <c r="O4" s="674"/>
      <c r="P4" s="674"/>
      <c r="Q4" s="674" t="s">
        <v>1032</v>
      </c>
      <c r="R4" s="674"/>
      <c r="S4" s="674" t="s">
        <v>690</v>
      </c>
      <c r="T4" s="674"/>
      <c r="U4" s="887">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4">
        <v>1</v>
      </c>
      <c r="X4" s="710" t="str">
        <f>IF(ISNA(INDEX($A$2:$A$36,MATCH(W4,V$2:V$36,0))), "", INDEX($A$2:$A$36,MATCH(W4,V$2:V$36,0)))</f>
        <v>Auchenai Death Shroud</v>
      </c>
      <c r="Y4" s="1388" t="str">
        <f t="shared" si="0"/>
        <v>Blood Knight War Cloak</v>
      </c>
    </row>
    <row r="5" spans="1:25">
      <c r="A5" s="673" t="s">
        <v>2401</v>
      </c>
      <c r="B5" s="674">
        <v>21701</v>
      </c>
      <c r="C5" s="674">
        <v>1</v>
      </c>
      <c r="D5" s="674">
        <v>11</v>
      </c>
      <c r="E5" s="674">
        <v>16</v>
      </c>
      <c r="F5" s="674"/>
      <c r="G5" s="674"/>
      <c r="H5" s="674">
        <v>10</v>
      </c>
      <c r="I5" s="674"/>
      <c r="J5" s="674"/>
      <c r="K5" s="674"/>
      <c r="L5" s="674">
        <v>15</v>
      </c>
      <c r="M5" s="674"/>
      <c r="N5" s="674"/>
      <c r="O5" s="674"/>
      <c r="P5" s="674"/>
      <c r="Q5" s="674" t="s">
        <v>1032</v>
      </c>
      <c r="R5" s="674"/>
      <c r="S5" s="674" t="s">
        <v>667</v>
      </c>
      <c r="T5" s="674"/>
      <c r="U5" s="887">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4">
        <v>2</v>
      </c>
      <c r="X5" s="710" t="str">
        <f t="shared" ref="X5:X38" si="1">IF(ISNA(INDEX($A$2:$A$36,MATCH(W5,V$2:V$36,0))), "", INDEX($A$2:$A$36,MATCH(W5,V$2:V$36,0)))</f>
        <v>Black-Iron Battlecloak</v>
      </c>
      <c r="Y5" s="1388" t="str">
        <f t="shared" si="0"/>
        <v>Cloak of Concentrated Hatred</v>
      </c>
    </row>
    <row r="6" spans="1:25">
      <c r="A6" s="679" t="s">
        <v>1471</v>
      </c>
      <c r="B6" s="674">
        <v>33122</v>
      </c>
      <c r="C6" s="674">
        <v>1</v>
      </c>
      <c r="D6" s="674">
        <v>23</v>
      </c>
      <c r="E6" s="674"/>
      <c r="F6" s="674"/>
      <c r="G6" s="674">
        <v>24</v>
      </c>
      <c r="H6" s="674"/>
      <c r="I6" s="674"/>
      <c r="J6" s="674"/>
      <c r="K6" s="674"/>
      <c r="L6" s="674">
        <v>25</v>
      </c>
      <c r="M6" s="674"/>
      <c r="N6" s="674"/>
      <c r="O6" s="674"/>
      <c r="P6" s="674"/>
      <c r="Q6" s="674" t="s">
        <v>1038</v>
      </c>
      <c r="R6" s="674" t="s">
        <v>1472</v>
      </c>
      <c r="S6" s="674" t="s">
        <v>675</v>
      </c>
      <c r="T6" s="674"/>
      <c r="U6" s="887">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4">
        <v>3</v>
      </c>
      <c r="X6" s="710" t="str">
        <f t="shared" si="1"/>
        <v>Blood Knight War Cloak</v>
      </c>
      <c r="Y6" s="1388" t="str">
        <f t="shared" si="0"/>
        <v>Cloak of Darkness</v>
      </c>
    </row>
    <row r="7" spans="1:25">
      <c r="A7" s="673" t="s">
        <v>544</v>
      </c>
      <c r="B7" s="674">
        <v>33590</v>
      </c>
      <c r="C7" s="674">
        <v>4</v>
      </c>
      <c r="D7" s="674"/>
      <c r="E7" s="674">
        <v>20</v>
      </c>
      <c r="F7" s="674">
        <v>46</v>
      </c>
      <c r="G7" s="674"/>
      <c r="H7" s="674"/>
      <c r="I7" s="674">
        <v>25</v>
      </c>
      <c r="J7" s="674"/>
      <c r="K7" s="674"/>
      <c r="L7" s="674">
        <v>22</v>
      </c>
      <c r="M7" s="674"/>
      <c r="N7" s="674"/>
      <c r="O7" s="674"/>
      <c r="P7" s="674"/>
      <c r="Q7" s="674" t="s">
        <v>1032</v>
      </c>
      <c r="R7" s="674"/>
      <c r="S7" s="674" t="s">
        <v>663</v>
      </c>
      <c r="T7" s="674"/>
      <c r="U7" s="887">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Cloak of Concentrated Hatred</v>
      </c>
      <c r="Y7" s="1388" t="str">
        <f t="shared" si="0"/>
        <v>Cloak of Fiends</v>
      </c>
    </row>
    <row r="8" spans="1:25">
      <c r="A8" s="673" t="s">
        <v>2385</v>
      </c>
      <c r="B8" s="674">
        <v>25965</v>
      </c>
      <c r="C8" s="674">
        <v>1</v>
      </c>
      <c r="D8" s="674"/>
      <c r="E8" s="674">
        <v>11</v>
      </c>
      <c r="F8" s="674">
        <v>22</v>
      </c>
      <c r="G8" s="674"/>
      <c r="H8" s="674">
        <v>11</v>
      </c>
      <c r="I8" s="674"/>
      <c r="J8" s="674"/>
      <c r="K8" s="674"/>
      <c r="L8" s="674">
        <v>16</v>
      </c>
      <c r="M8" s="674"/>
      <c r="N8" s="674"/>
      <c r="O8" s="674"/>
      <c r="P8" s="674"/>
      <c r="Q8" s="674" t="s">
        <v>1032</v>
      </c>
      <c r="R8" s="674"/>
      <c r="S8" s="674" t="s">
        <v>674</v>
      </c>
      <c r="T8" s="674"/>
      <c r="U8" s="887">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4">
        <v>5</v>
      </c>
      <c r="X8" s="710" t="str">
        <f t="shared" si="1"/>
        <v>Cloak of Darkness</v>
      </c>
      <c r="Y8" s="1388" t="str">
        <f t="shared" si="0"/>
        <v>Cloak of Grasping Talons</v>
      </c>
    </row>
    <row r="9" spans="1:25">
      <c r="A9" s="673" t="s">
        <v>2386</v>
      </c>
      <c r="B9" s="674">
        <v>27423</v>
      </c>
      <c r="C9" s="674">
        <v>1</v>
      </c>
      <c r="D9" s="674"/>
      <c r="E9" s="674">
        <v>18</v>
      </c>
      <c r="F9" s="674">
        <v>40</v>
      </c>
      <c r="G9" s="674"/>
      <c r="H9" s="674"/>
      <c r="I9" s="674"/>
      <c r="J9" s="674"/>
      <c r="K9" s="674"/>
      <c r="L9" s="674">
        <v>19</v>
      </c>
      <c r="M9" s="674"/>
      <c r="N9" s="674"/>
      <c r="O9" s="674"/>
      <c r="P9" s="674"/>
      <c r="Q9" s="674" t="s">
        <v>1032</v>
      </c>
      <c r="R9" s="674"/>
      <c r="S9" s="674" t="s">
        <v>672</v>
      </c>
      <c r="T9" s="674"/>
      <c r="U9" s="887">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4">
        <v>6</v>
      </c>
      <c r="X9" s="710" t="str">
        <f t="shared" si="1"/>
        <v>Cloak of Grasping Talons</v>
      </c>
      <c r="Y9" s="1388" t="str">
        <f t="shared" si="0"/>
        <v>Cloak of Impulsiveness</v>
      </c>
    </row>
    <row r="10" spans="1:25">
      <c r="A10" s="673" t="s">
        <v>1412</v>
      </c>
      <c r="B10" s="674">
        <v>27519</v>
      </c>
      <c r="C10" s="674">
        <v>1</v>
      </c>
      <c r="D10" s="674"/>
      <c r="E10" s="674">
        <v>21</v>
      </c>
      <c r="F10" s="674">
        <v>38</v>
      </c>
      <c r="G10" s="674"/>
      <c r="H10" s="674"/>
      <c r="I10" s="674"/>
      <c r="J10" s="674"/>
      <c r="K10" s="674"/>
      <c r="L10" s="674">
        <v>18</v>
      </c>
      <c r="M10" s="674"/>
      <c r="N10" s="674"/>
      <c r="O10" s="674"/>
      <c r="P10" s="674"/>
      <c r="Q10" s="674" t="s">
        <v>1032</v>
      </c>
      <c r="R10" s="674"/>
      <c r="S10" s="674" t="s">
        <v>672</v>
      </c>
      <c r="T10" s="674"/>
      <c r="U10" s="887">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4">
        <v>7</v>
      </c>
      <c r="X10" s="710" t="str">
        <f t="shared" si="1"/>
        <v>Cloak of Impulsiveness</v>
      </c>
      <c r="Y10" s="1388" t="str">
        <f t="shared" si="0"/>
        <v>Cloak of Malice</v>
      </c>
    </row>
    <row r="11" spans="1:25">
      <c r="A11" s="673" t="s">
        <v>11</v>
      </c>
      <c r="B11" s="674">
        <v>34708</v>
      </c>
      <c r="C11" s="674">
        <v>5</v>
      </c>
      <c r="D11" s="674"/>
      <c r="E11" s="674"/>
      <c r="F11" s="674">
        <v>38</v>
      </c>
      <c r="G11" s="674"/>
      <c r="H11" s="674">
        <v>12</v>
      </c>
      <c r="I11" s="674">
        <v>18</v>
      </c>
      <c r="J11" s="674"/>
      <c r="K11" s="674"/>
      <c r="L11" s="674">
        <v>18</v>
      </c>
      <c r="M11" s="674"/>
      <c r="N11" s="674"/>
      <c r="O11" s="674"/>
      <c r="P11" s="674"/>
      <c r="Q11" s="674" t="s">
        <v>1032</v>
      </c>
      <c r="R11" s="674"/>
      <c r="S11" s="674" t="s">
        <v>672</v>
      </c>
      <c r="T11" s="674"/>
      <c r="U11" s="887">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Cloak of Malice</v>
      </c>
      <c r="Y11" s="1388" t="str">
        <f t="shared" si="0"/>
        <v>Cloak of the Coming Night</v>
      </c>
    </row>
    <row r="12" spans="1:25">
      <c r="A12" s="673" t="s">
        <v>883</v>
      </c>
      <c r="B12" s="674">
        <v>31255</v>
      </c>
      <c r="C12" s="674">
        <v>1</v>
      </c>
      <c r="D12" s="674"/>
      <c r="E12" s="674">
        <v>23</v>
      </c>
      <c r="F12" s="674">
        <v>20</v>
      </c>
      <c r="G12" s="674"/>
      <c r="H12" s="674">
        <v>13</v>
      </c>
      <c r="I12" s="674"/>
      <c r="J12" s="674"/>
      <c r="K12" s="674"/>
      <c r="L12" s="674"/>
      <c r="M12" s="674"/>
      <c r="N12" s="674"/>
      <c r="O12" s="674"/>
      <c r="P12" s="674"/>
      <c r="Q12" s="674" t="s">
        <v>1032</v>
      </c>
      <c r="R12" s="674"/>
      <c r="S12" s="674" t="s">
        <v>673</v>
      </c>
      <c r="T12" s="674"/>
      <c r="U12" s="887">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4">
        <v>9</v>
      </c>
      <c r="X12" s="710" t="str">
        <f t="shared" si="1"/>
        <v>Cloak of the Craft</v>
      </c>
      <c r="Y12" s="1388" t="str">
        <f t="shared" si="0"/>
        <v>Cloak of the Craft</v>
      </c>
    </row>
    <row r="13" spans="1:25">
      <c r="A13" s="673" t="s">
        <v>884</v>
      </c>
      <c r="B13" s="674">
        <v>27892</v>
      </c>
      <c r="C13" s="674">
        <v>1</v>
      </c>
      <c r="D13" s="674"/>
      <c r="E13" s="674"/>
      <c r="F13" s="674">
        <v>30</v>
      </c>
      <c r="G13" s="674">
        <v>18</v>
      </c>
      <c r="H13" s="674">
        <v>16</v>
      </c>
      <c r="I13" s="674"/>
      <c r="J13" s="674"/>
      <c r="K13" s="674"/>
      <c r="L13" s="674">
        <v>15</v>
      </c>
      <c r="M13" s="674"/>
      <c r="N13" s="674"/>
      <c r="O13" s="674"/>
      <c r="P13" s="674"/>
      <c r="Q13" s="674" t="s">
        <v>1032</v>
      </c>
      <c r="R13" s="674"/>
      <c r="S13" s="674" t="s">
        <v>672</v>
      </c>
      <c r="T13" s="674"/>
      <c r="U13" s="887">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4">
        <v>10</v>
      </c>
      <c r="X13" s="710" t="str">
        <f t="shared" si="1"/>
        <v>Cloak of the Inciter</v>
      </c>
      <c r="Y13" s="1388" t="str">
        <f t="shared" si="0"/>
        <v>Cloak of the Inciter</v>
      </c>
    </row>
    <row r="14" spans="1:25" s="47" customFormat="1">
      <c r="A14" s="673" t="s">
        <v>885</v>
      </c>
      <c r="B14" s="674">
        <v>28777</v>
      </c>
      <c r="C14" s="674">
        <v>1</v>
      </c>
      <c r="D14" s="674"/>
      <c r="E14" s="674"/>
      <c r="F14" s="674">
        <v>56</v>
      </c>
      <c r="G14" s="674">
        <v>24</v>
      </c>
      <c r="H14" s="674"/>
      <c r="I14" s="674"/>
      <c r="J14" s="674"/>
      <c r="K14" s="674"/>
      <c r="L14" s="674">
        <v>28</v>
      </c>
      <c r="M14" s="674"/>
      <c r="N14" s="674"/>
      <c r="O14" s="674"/>
      <c r="P14" s="674"/>
      <c r="Q14" s="674" t="s">
        <v>1032</v>
      </c>
      <c r="R14" s="674"/>
      <c r="S14" s="674" t="s">
        <v>678</v>
      </c>
      <c r="T14" s="674"/>
      <c r="U14" s="887">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4">
        <v>11</v>
      </c>
      <c r="X14" s="710" t="str">
        <f t="shared" si="1"/>
        <v>Cloak of the Pit Stalker</v>
      </c>
      <c r="Y14" s="1388" t="str">
        <f t="shared" si="0"/>
        <v>Cloak of the Pit Stalker</v>
      </c>
    </row>
    <row r="15" spans="1:25">
      <c r="A15" s="673" t="s">
        <v>1729</v>
      </c>
      <c r="B15" s="674">
        <v>34241</v>
      </c>
      <c r="C15" s="674">
        <v>5</v>
      </c>
      <c r="D15" s="674"/>
      <c r="E15" s="674">
        <v>26</v>
      </c>
      <c r="F15" s="674">
        <v>72</v>
      </c>
      <c r="G15" s="674"/>
      <c r="H15" s="674"/>
      <c r="I15" s="674">
        <v>32</v>
      </c>
      <c r="J15" s="674"/>
      <c r="K15" s="674"/>
      <c r="L15" s="674">
        <v>25</v>
      </c>
      <c r="M15" s="674"/>
      <c r="N15" s="674"/>
      <c r="O15" s="674"/>
      <c r="P15" s="674"/>
      <c r="Q15" s="674" t="s">
        <v>1042</v>
      </c>
      <c r="R15" s="674" t="s">
        <v>1065</v>
      </c>
      <c r="S15" s="674" t="s">
        <v>870</v>
      </c>
      <c r="T15" s="674"/>
      <c r="U15" s="887">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Consortium Cloak of the Quick</v>
      </c>
      <c r="Y15" s="1388" t="str">
        <f t="shared" si="0"/>
        <v>Cloak of Unforgivable Sin</v>
      </c>
    </row>
    <row r="16" spans="1:25">
      <c r="A16" s="673" t="s">
        <v>886</v>
      </c>
      <c r="B16" s="674">
        <v>25927</v>
      </c>
      <c r="C16" s="674">
        <v>1</v>
      </c>
      <c r="D16" s="674"/>
      <c r="E16" s="674">
        <v>14</v>
      </c>
      <c r="F16" s="674">
        <v>26</v>
      </c>
      <c r="G16" s="674"/>
      <c r="H16" s="674">
        <v>14</v>
      </c>
      <c r="I16" s="674"/>
      <c r="J16" s="674"/>
      <c r="K16" s="674"/>
      <c r="L16" s="674"/>
      <c r="M16" s="674"/>
      <c r="N16" s="674"/>
      <c r="O16" s="674"/>
      <c r="P16" s="674"/>
      <c r="Q16" s="674" t="s">
        <v>1032</v>
      </c>
      <c r="R16" s="674"/>
      <c r="S16" s="674" t="s">
        <v>674</v>
      </c>
      <c r="T16" s="674"/>
      <c r="U16" s="887">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4">
        <v>13</v>
      </c>
      <c r="X16" s="710" t="str">
        <f t="shared" si="1"/>
        <v>Crystalweave Cape</v>
      </c>
      <c r="Y16" s="1388" t="str">
        <f t="shared" si="0"/>
        <v>Consortium Cloak of the Quick</v>
      </c>
    </row>
    <row r="17" spans="1:25">
      <c r="A17" s="673" t="s">
        <v>2387</v>
      </c>
      <c r="B17" s="674">
        <v>34190</v>
      </c>
      <c r="C17" s="674">
        <v>5</v>
      </c>
      <c r="D17" s="674"/>
      <c r="E17" s="674"/>
      <c r="F17" s="674"/>
      <c r="G17" s="674"/>
      <c r="H17" s="674"/>
      <c r="I17" s="674"/>
      <c r="J17" s="674"/>
      <c r="K17" s="674">
        <v>28</v>
      </c>
      <c r="L17" s="674">
        <v>61</v>
      </c>
      <c r="M17" s="674">
        <v>28</v>
      </c>
      <c r="N17" s="674"/>
      <c r="O17" s="674"/>
      <c r="P17" s="674"/>
      <c r="Q17" s="674" t="s">
        <v>1032</v>
      </c>
      <c r="R17" s="674"/>
      <c r="S17" s="674" t="s">
        <v>870</v>
      </c>
      <c r="T17" s="674"/>
      <c r="U17" s="887">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Dawnstrike's Cloak</v>
      </c>
      <c r="Y17" s="1388" t="str">
        <f t="shared" si="0"/>
        <v>Crimson Paragon's Cover</v>
      </c>
    </row>
    <row r="18" spans="1:25">
      <c r="A18" s="679" t="s">
        <v>1145</v>
      </c>
      <c r="B18" s="674">
        <v>32665</v>
      </c>
      <c r="C18" s="674">
        <v>1</v>
      </c>
      <c r="D18" s="674"/>
      <c r="E18" s="674">
        <v>15</v>
      </c>
      <c r="F18" s="674"/>
      <c r="G18" s="674"/>
      <c r="H18" s="674"/>
      <c r="I18" s="674">
        <v>26</v>
      </c>
      <c r="J18" s="674"/>
      <c r="K18" s="674"/>
      <c r="L18" s="674">
        <v>15</v>
      </c>
      <c r="M18" s="674"/>
      <c r="N18" s="674"/>
      <c r="O18" s="674"/>
      <c r="P18" s="674"/>
      <c r="Q18" s="674" t="s">
        <v>1032</v>
      </c>
      <c r="R18" s="674"/>
      <c r="S18" s="674" t="s">
        <v>673</v>
      </c>
      <c r="T18" s="674"/>
      <c r="U18" s="887">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4">
        <v>15</v>
      </c>
      <c r="X18" s="710" t="str">
        <f t="shared" si="1"/>
        <v>Deathwing Brood Cloak</v>
      </c>
      <c r="Y18" s="1388" t="str">
        <f t="shared" si="0"/>
        <v>Crystalweave Cape</v>
      </c>
    </row>
    <row r="19" spans="1:25">
      <c r="A19" s="673" t="s">
        <v>1613</v>
      </c>
      <c r="B19" s="674">
        <v>29792</v>
      </c>
      <c r="C19" s="674">
        <v>1</v>
      </c>
      <c r="D19" s="674"/>
      <c r="E19" s="674">
        <v>12</v>
      </c>
      <c r="F19" s="674">
        <v>42</v>
      </c>
      <c r="G19" s="674"/>
      <c r="H19" s="674">
        <v>9</v>
      </c>
      <c r="I19" s="674"/>
      <c r="J19" s="674"/>
      <c r="K19" s="674"/>
      <c r="L19" s="674"/>
      <c r="M19" s="674"/>
      <c r="N19" s="674"/>
      <c r="O19" s="674"/>
      <c r="P19" s="674"/>
      <c r="Q19" s="674" t="s">
        <v>1032</v>
      </c>
      <c r="R19" s="674"/>
      <c r="S19" s="674" t="s">
        <v>674</v>
      </c>
      <c r="T19" s="674"/>
      <c r="U19" s="887">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4">
        <v>16</v>
      </c>
      <c r="X19" s="710" t="str">
        <f t="shared" si="1"/>
        <v>Delicate Green Poncho</v>
      </c>
      <c r="Y19" s="1388" t="str">
        <f t="shared" si="0"/>
        <v>Dawnstrike's Cloak</v>
      </c>
    </row>
    <row r="20" spans="1:25">
      <c r="A20" s="679" t="s">
        <v>2388</v>
      </c>
      <c r="B20" s="674">
        <v>31942</v>
      </c>
      <c r="C20" s="674">
        <v>1</v>
      </c>
      <c r="D20" s="674"/>
      <c r="E20" s="674">
        <v>18</v>
      </c>
      <c r="F20" s="674">
        <v>42</v>
      </c>
      <c r="G20" s="674"/>
      <c r="H20" s="674"/>
      <c r="I20" s="674"/>
      <c r="J20" s="674"/>
      <c r="K20" s="674"/>
      <c r="L20" s="674">
        <v>27</v>
      </c>
      <c r="M20" s="674"/>
      <c r="N20" s="674"/>
      <c r="O20" s="674"/>
      <c r="P20" s="674"/>
      <c r="Q20" s="674" t="s">
        <v>1032</v>
      </c>
      <c r="R20" s="674"/>
      <c r="S20" s="674" t="s">
        <v>674</v>
      </c>
      <c r="T20" s="674"/>
      <c r="U20" s="887">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4">
        <v>17</v>
      </c>
      <c r="X20" s="710" t="str">
        <f t="shared" si="1"/>
        <v>Drape of the Dark Reavers</v>
      </c>
      <c r="Y20" s="1388" t="str">
        <f t="shared" si="0"/>
        <v>Deathwing Brood Cloak</v>
      </c>
    </row>
    <row r="21" spans="1:25">
      <c r="A21" s="673" t="s">
        <v>1614</v>
      </c>
      <c r="B21" s="674">
        <v>28032</v>
      </c>
      <c r="C21" s="674">
        <v>1</v>
      </c>
      <c r="D21" s="674"/>
      <c r="E21" s="674">
        <v>14</v>
      </c>
      <c r="F21" s="674">
        <v>28</v>
      </c>
      <c r="G21" s="674"/>
      <c r="H21" s="674">
        <v>14</v>
      </c>
      <c r="I21" s="674"/>
      <c r="J21" s="674"/>
      <c r="K21" s="674"/>
      <c r="L21" s="674">
        <v>19</v>
      </c>
      <c r="M21" s="674"/>
      <c r="N21" s="674"/>
      <c r="O21" s="674"/>
      <c r="P21" s="674"/>
      <c r="Q21" s="674" t="s">
        <v>1032</v>
      </c>
      <c r="R21" s="674"/>
      <c r="S21" s="674" t="s">
        <v>674</v>
      </c>
      <c r="T21" s="674"/>
      <c r="U21" s="887">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4">
        <v>18</v>
      </c>
      <c r="X21" s="710" t="str">
        <f t="shared" si="1"/>
        <v>Farstrider Wildercloak</v>
      </c>
      <c r="Y21" s="1388" t="str">
        <f t="shared" si="0"/>
        <v>Delicate Green Poncho</v>
      </c>
    </row>
    <row r="22" spans="1:25">
      <c r="A22" s="679" t="s">
        <v>1427</v>
      </c>
      <c r="B22" s="674">
        <v>33484</v>
      </c>
      <c r="C22" s="674">
        <v>4</v>
      </c>
      <c r="D22" s="674"/>
      <c r="E22" s="674"/>
      <c r="F22" s="674">
        <v>46</v>
      </c>
      <c r="G22" s="674">
        <v>20</v>
      </c>
      <c r="H22" s="674"/>
      <c r="I22" s="674"/>
      <c r="J22" s="674">
        <v>112</v>
      </c>
      <c r="K22" s="674"/>
      <c r="L22" s="674">
        <v>34</v>
      </c>
      <c r="M22" s="674"/>
      <c r="N22" s="674">
        <v>20</v>
      </c>
      <c r="O22" s="674"/>
      <c r="P22" s="674"/>
      <c r="Q22" s="674" t="s">
        <v>1032</v>
      </c>
      <c r="R22" s="674"/>
      <c r="S22" s="674" t="s">
        <v>676</v>
      </c>
      <c r="T22" s="674"/>
      <c r="U22" s="887">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Netherfury Cape</v>
      </c>
      <c r="Y22" s="1388" t="str">
        <f t="shared" si="0"/>
        <v>Dory's Embrace</v>
      </c>
    </row>
    <row r="23" spans="1:25">
      <c r="A23" s="673" t="s">
        <v>1117</v>
      </c>
      <c r="B23" s="674">
        <v>28672</v>
      </c>
      <c r="C23" s="674">
        <v>1</v>
      </c>
      <c r="D23" s="674"/>
      <c r="E23" s="674">
        <v>24</v>
      </c>
      <c r="F23" s="674">
        <v>34</v>
      </c>
      <c r="G23" s="674"/>
      <c r="H23" s="674">
        <v>17</v>
      </c>
      <c r="I23" s="674"/>
      <c r="J23" s="674"/>
      <c r="K23" s="674"/>
      <c r="L23" s="674">
        <v>21</v>
      </c>
      <c r="M23" s="674"/>
      <c r="N23" s="674"/>
      <c r="O23" s="674"/>
      <c r="P23" s="674"/>
      <c r="Q23" s="674" t="s">
        <v>1032</v>
      </c>
      <c r="R23" s="674"/>
      <c r="S23" s="674" t="s">
        <v>671</v>
      </c>
      <c r="T23" s="674"/>
      <c r="U23" s="887">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4">
        <v>20</v>
      </c>
      <c r="X23" s="710" t="str">
        <f t="shared" si="1"/>
        <v>Royal Cloak of Arathi Kings</v>
      </c>
      <c r="Y23" s="1388" t="str">
        <f t="shared" si="0"/>
        <v>Drape of the Dark Reavers</v>
      </c>
    </row>
    <row r="24" spans="1:25">
      <c r="A24" s="673" t="s">
        <v>2487</v>
      </c>
      <c r="B24" s="674">
        <v>28764</v>
      </c>
      <c r="C24" s="674">
        <v>1</v>
      </c>
      <c r="D24" s="674"/>
      <c r="E24" s="674"/>
      <c r="F24" s="674">
        <v>70</v>
      </c>
      <c r="G24" s="674"/>
      <c r="H24" s="674"/>
      <c r="I24" s="674"/>
      <c r="J24" s="674"/>
      <c r="K24" s="674"/>
      <c r="L24" s="674">
        <v>36</v>
      </c>
      <c r="M24" s="674"/>
      <c r="N24" s="674"/>
      <c r="O24" s="674"/>
      <c r="P24" s="674"/>
      <c r="Q24" s="674" t="s">
        <v>1032</v>
      </c>
      <c r="R24" s="674"/>
      <c r="S24" s="674" t="s">
        <v>671</v>
      </c>
      <c r="T24" s="674"/>
      <c r="U24" s="887">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4">
        <v>21</v>
      </c>
      <c r="X24" s="710" t="str">
        <f t="shared" si="1"/>
        <v>Sergeant's Heavy Cloak (H)</v>
      </c>
      <c r="Y24" s="1388" t="str">
        <f t="shared" si="0"/>
        <v>Farstrider Wildercloak</v>
      </c>
    </row>
    <row r="25" spans="1:25">
      <c r="A25" s="673" t="s">
        <v>1615</v>
      </c>
      <c r="B25" s="674">
        <v>28371</v>
      </c>
      <c r="C25" s="674">
        <v>1</v>
      </c>
      <c r="D25" s="674">
        <v>19</v>
      </c>
      <c r="E25" s="674"/>
      <c r="F25" s="674"/>
      <c r="G25" s="674">
        <v>21</v>
      </c>
      <c r="H25" s="674"/>
      <c r="I25" s="674"/>
      <c r="J25" s="674"/>
      <c r="K25" s="674"/>
      <c r="L25" s="674">
        <v>19</v>
      </c>
      <c r="M25" s="674"/>
      <c r="N25" s="674"/>
      <c r="O25" s="674"/>
      <c r="P25" s="674"/>
      <c r="Q25" s="674" t="s">
        <v>1032</v>
      </c>
      <c r="R25" s="674"/>
      <c r="S25" s="674" t="s">
        <v>672</v>
      </c>
      <c r="T25" s="674"/>
      <c r="U25" s="887">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4">
        <v>22</v>
      </c>
      <c r="X25" s="710" t="str">
        <f t="shared" si="1"/>
        <v>Sergeant's Heavy Cloak (A)</v>
      </c>
      <c r="Y25" s="1388" t="str">
        <f t="shared" si="0"/>
        <v>Netherfury Cape</v>
      </c>
    </row>
    <row r="26" spans="1:25">
      <c r="A26" s="673" t="s">
        <v>1616</v>
      </c>
      <c r="B26" s="674">
        <v>30098</v>
      </c>
      <c r="C26" s="674">
        <v>2</v>
      </c>
      <c r="D26" s="674">
        <v>33</v>
      </c>
      <c r="E26" s="674">
        <v>23</v>
      </c>
      <c r="F26" s="674"/>
      <c r="G26" s="674"/>
      <c r="H26" s="674"/>
      <c r="I26" s="674"/>
      <c r="J26" s="674"/>
      <c r="K26" s="674"/>
      <c r="L26" s="674">
        <v>22</v>
      </c>
      <c r="M26" s="674"/>
      <c r="N26" s="674"/>
      <c r="O26" s="674"/>
      <c r="P26" s="674"/>
      <c r="Q26" s="674" t="s">
        <v>1032</v>
      </c>
      <c r="R26" s="674"/>
      <c r="S26" s="674" t="s">
        <v>666</v>
      </c>
      <c r="T26" s="674"/>
      <c r="U26" s="887">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Shroud of Dominion</v>
      </c>
      <c r="Y26" s="1388" t="str">
        <f t="shared" si="0"/>
        <v>Razor-Scale Battlecloak</v>
      </c>
    </row>
    <row r="27" spans="1:25">
      <c r="A27" s="673" t="s">
        <v>2488</v>
      </c>
      <c r="B27" s="674">
        <v>28529</v>
      </c>
      <c r="C27" s="674">
        <v>1</v>
      </c>
      <c r="D27" s="674">
        <v>26</v>
      </c>
      <c r="E27" s="674"/>
      <c r="F27" s="674"/>
      <c r="G27" s="674"/>
      <c r="H27" s="674">
        <v>16</v>
      </c>
      <c r="I27" s="674"/>
      <c r="J27" s="674"/>
      <c r="K27" s="674"/>
      <c r="L27" s="674">
        <v>31</v>
      </c>
      <c r="M27" s="674"/>
      <c r="N27" s="674"/>
      <c r="O27" s="674"/>
      <c r="P27" s="674"/>
      <c r="Q27" s="674" t="s">
        <v>1032</v>
      </c>
      <c r="R27" s="674"/>
      <c r="S27" s="674" t="s">
        <v>671</v>
      </c>
      <c r="T27" s="674"/>
      <c r="U27" s="887">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4">
        <v>24</v>
      </c>
      <c r="X27" s="710" t="str">
        <f t="shared" si="1"/>
        <v>Vengeance Wrap</v>
      </c>
      <c r="Y27" s="1388" t="str">
        <f t="shared" si="0"/>
        <v>Royal Cloak of Arathi Kings</v>
      </c>
    </row>
    <row r="28" spans="1:25">
      <c r="A28" s="673" t="s">
        <v>228</v>
      </c>
      <c r="B28" s="674">
        <v>28377</v>
      </c>
      <c r="C28" s="674">
        <v>1</v>
      </c>
      <c r="D28" s="674"/>
      <c r="E28" s="674"/>
      <c r="F28" s="674">
        <v>38</v>
      </c>
      <c r="G28" s="674">
        <v>19</v>
      </c>
      <c r="H28" s="674"/>
      <c r="I28" s="674"/>
      <c r="J28" s="674"/>
      <c r="K28" s="674"/>
      <c r="L28" s="674">
        <v>27</v>
      </c>
      <c r="M28" s="674"/>
      <c r="N28" s="674">
        <v>19</v>
      </c>
      <c r="O28" s="674"/>
      <c r="P28" s="674"/>
      <c r="Q28" s="674" t="s">
        <v>1032</v>
      </c>
      <c r="R28" s="674"/>
      <c r="S28" s="674" t="s">
        <v>676</v>
      </c>
      <c r="T28" s="674"/>
      <c r="U28" s="887">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4">
        <v>25</v>
      </c>
      <c r="X28" s="710" t="str">
        <f t="shared" si="1"/>
        <v>(Unmodeled)</v>
      </c>
      <c r="Y28" s="1388" t="str">
        <f t="shared" si="0"/>
        <v>Sergeant's Heavy Cloak (H)</v>
      </c>
    </row>
    <row r="29" spans="1:25">
      <c r="A29" s="673" t="s">
        <v>229</v>
      </c>
      <c r="B29" s="674">
        <v>28380</v>
      </c>
      <c r="C29" s="674">
        <v>1</v>
      </c>
      <c r="D29" s="674"/>
      <c r="E29" s="674"/>
      <c r="F29" s="674">
        <v>38</v>
      </c>
      <c r="G29" s="674">
        <v>19</v>
      </c>
      <c r="H29" s="674"/>
      <c r="I29" s="674"/>
      <c r="J29" s="674"/>
      <c r="K29" s="674"/>
      <c r="L29" s="674">
        <v>27</v>
      </c>
      <c r="M29" s="674"/>
      <c r="N29" s="674">
        <v>19</v>
      </c>
      <c r="O29" s="674"/>
      <c r="P29" s="674"/>
      <c r="Q29" s="674" t="s">
        <v>1032</v>
      </c>
      <c r="R29" s="674"/>
      <c r="S29" s="674" t="s">
        <v>676</v>
      </c>
      <c r="T29" s="674"/>
      <c r="U29" s="887">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4">
        <v>26</v>
      </c>
      <c r="X29" s="710" t="str">
        <f t="shared" si="1"/>
        <v/>
      </c>
      <c r="Y29" s="1388" t="str">
        <f t="shared" si="0"/>
        <v>Sergeant's Heavy Cloak (A)</v>
      </c>
    </row>
    <row r="30" spans="1:25">
      <c r="A30" s="673" t="s">
        <v>1617</v>
      </c>
      <c r="B30" s="674">
        <v>32323</v>
      </c>
      <c r="C30" s="674">
        <v>3</v>
      </c>
      <c r="D30" s="674"/>
      <c r="E30" s="674"/>
      <c r="F30" s="674">
        <v>72</v>
      </c>
      <c r="G30" s="674">
        <v>24</v>
      </c>
      <c r="H30" s="674">
        <v>17</v>
      </c>
      <c r="I30" s="674"/>
      <c r="J30" s="674"/>
      <c r="K30" s="674"/>
      <c r="L30" s="674">
        <v>24</v>
      </c>
      <c r="M30" s="674"/>
      <c r="N30" s="674"/>
      <c r="O30" s="674"/>
      <c r="P30" s="674"/>
      <c r="Q30" s="674" t="s">
        <v>1032</v>
      </c>
      <c r="R30" s="674"/>
      <c r="S30" s="674" t="s">
        <v>682</v>
      </c>
      <c r="T30" s="674"/>
      <c r="U30" s="887">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Shadowmoon Destroyer's Drape</v>
      </c>
    </row>
    <row r="31" spans="1:25">
      <c r="A31" s="673" t="s">
        <v>2389</v>
      </c>
      <c r="B31" s="674">
        <v>23045</v>
      </c>
      <c r="C31" s="674">
        <v>1</v>
      </c>
      <c r="D31" s="674"/>
      <c r="E31" s="674"/>
      <c r="F31" s="674">
        <v>50</v>
      </c>
      <c r="G31" s="674">
        <v>14</v>
      </c>
      <c r="H31" s="674"/>
      <c r="I31" s="674"/>
      <c r="J31" s="674"/>
      <c r="K31" s="674"/>
      <c r="L31" s="674">
        <v>11</v>
      </c>
      <c r="M31" s="674"/>
      <c r="N31" s="674"/>
      <c r="O31" s="674"/>
      <c r="P31" s="674"/>
      <c r="Q31" s="674" t="s">
        <v>1032</v>
      </c>
      <c r="R31" s="674"/>
      <c r="S31" s="674" t="s">
        <v>667</v>
      </c>
      <c r="T31" s="674"/>
      <c r="U31" s="887">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4">
        <v>28</v>
      </c>
      <c r="X31" s="710" t="str">
        <f t="shared" si="1"/>
        <v/>
      </c>
      <c r="Y31" s="1388" t="str">
        <f t="shared" si="0"/>
        <v>Shroud of Dominion</v>
      </c>
    </row>
    <row r="32" spans="1:25">
      <c r="A32" s="679" t="s">
        <v>2082</v>
      </c>
      <c r="B32" s="674">
        <v>32540</v>
      </c>
      <c r="C32" s="674">
        <v>3</v>
      </c>
      <c r="D32" s="674"/>
      <c r="E32" s="674">
        <v>16</v>
      </c>
      <c r="F32" s="674">
        <v>56</v>
      </c>
      <c r="G32" s="674"/>
      <c r="H32" s="674"/>
      <c r="I32" s="674"/>
      <c r="J32" s="674"/>
      <c r="K32" s="674"/>
      <c r="L32" s="674">
        <v>18</v>
      </c>
      <c r="M32" s="674"/>
      <c r="N32" s="674"/>
      <c r="O32" s="674"/>
      <c r="P32" s="674"/>
      <c r="Q32" s="674" t="s">
        <v>1032</v>
      </c>
      <c r="R32" s="674"/>
      <c r="S32" s="674" t="s">
        <v>673</v>
      </c>
      <c r="T32" s="674"/>
      <c r="U32" s="887">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Terokk's Might</v>
      </c>
    </row>
    <row r="33" spans="1:25">
      <c r="A33" s="673" t="s">
        <v>2083</v>
      </c>
      <c r="B33" s="674">
        <v>29994</v>
      </c>
      <c r="C33" s="674">
        <v>2</v>
      </c>
      <c r="D33" s="674"/>
      <c r="E33" s="674">
        <v>28</v>
      </c>
      <c r="F33" s="674">
        <v>68</v>
      </c>
      <c r="G33" s="674"/>
      <c r="H33" s="674"/>
      <c r="I33" s="674"/>
      <c r="J33" s="674"/>
      <c r="K33" s="674"/>
      <c r="L33" s="674">
        <v>28</v>
      </c>
      <c r="M33" s="674"/>
      <c r="N33" s="674"/>
      <c r="O33" s="674"/>
      <c r="P33" s="674"/>
      <c r="Q33" s="674" t="s">
        <v>1032</v>
      </c>
      <c r="R33" s="674"/>
      <c r="S33" s="674" t="s">
        <v>679</v>
      </c>
      <c r="T33" s="674"/>
      <c r="U33" s="887">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Thalassian Wildercloak</v>
      </c>
    </row>
    <row r="34" spans="1:25">
      <c r="A34" s="741" t="s">
        <v>1354</v>
      </c>
      <c r="B34" s="723">
        <v>35495</v>
      </c>
      <c r="C34" s="723">
        <v>5</v>
      </c>
      <c r="D34" s="723"/>
      <c r="E34" s="723">
        <v>23</v>
      </c>
      <c r="F34" s="723">
        <v>48</v>
      </c>
      <c r="G34" s="723"/>
      <c r="H34" s="723"/>
      <c r="I34" s="723"/>
      <c r="J34" s="723"/>
      <c r="K34" s="723"/>
      <c r="L34" s="723">
        <v>22</v>
      </c>
      <c r="M34" s="723"/>
      <c r="N34" s="723"/>
      <c r="O34" s="723"/>
      <c r="P34" s="723"/>
      <c r="Q34" s="723" t="s">
        <v>1032</v>
      </c>
      <c r="R34" s="723"/>
      <c r="S34" s="723" t="s">
        <v>690</v>
      </c>
      <c r="T34" s="674"/>
      <c r="U34" s="887">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8"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77"/>
      <c r="U35" s="887">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4">
        <v>32</v>
      </c>
      <c r="X35" s="710" t="str">
        <f t="shared" si="1"/>
        <v/>
      </c>
      <c r="Y35" s="1388"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6">
        <f>'Gear &amp; Buffs'!$S$159</f>
        <v>0</v>
      </c>
      <c r="S36" s="114"/>
      <c r="T36" s="688"/>
      <c r="U36" s="887">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77">
        <f>MAX($V$1:V35)+1</f>
        <v>25</v>
      </c>
      <c r="W36" s="734">
        <v>33</v>
      </c>
      <c r="X36" s="710"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88"/>
      <c r="U37" s="707"/>
      <c r="V37" s="677"/>
      <c r="W37" s="734">
        <v>34</v>
      </c>
      <c r="X37" s="710" t="str">
        <f t="shared" si="1"/>
        <v/>
      </c>
    </row>
    <row r="38" spans="1:25">
      <c r="A38" s="10"/>
      <c r="D38" s="114"/>
      <c r="E38" s="114"/>
      <c r="F38" s="114"/>
      <c r="G38" s="127"/>
      <c r="H38" s="114"/>
      <c r="J38" s="114"/>
      <c r="K38" s="138"/>
      <c r="L38" s="114"/>
      <c r="M38" s="127"/>
      <c r="N38" s="138"/>
      <c r="O38" s="116"/>
      <c r="T38" s="116"/>
      <c r="W38" s="734">
        <v>35</v>
      </c>
      <c r="X38" s="710" t="str">
        <f t="shared" si="1"/>
        <v/>
      </c>
    </row>
    <row r="39" spans="1:25">
      <c r="A39" s="10"/>
      <c r="D39" s="114"/>
      <c r="E39" s="114"/>
      <c r="F39" s="114"/>
      <c r="G39" s="127"/>
      <c r="H39" s="114"/>
      <c r="J39" s="114"/>
      <c r="K39" s="138"/>
      <c r="L39" s="114"/>
      <c r="M39" s="127"/>
      <c r="N39" s="138"/>
      <c r="O39" s="116"/>
      <c r="T39" s="116"/>
      <c r="W39" s="114"/>
      <c r="X39" s="10"/>
    </row>
    <row r="40" spans="1:25" ht="23.25" thickBot="1">
      <c r="A40" s="736" t="s">
        <v>2085</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44" t="s">
        <v>1688</v>
      </c>
    </row>
    <row r="41" spans="1:25">
      <c r="A41" s="691" t="s">
        <v>2086</v>
      </c>
      <c r="B41" s="692">
        <v>2622</v>
      </c>
      <c r="C41" s="692">
        <v>1</v>
      </c>
      <c r="D41" s="692"/>
      <c r="E41" s="692"/>
      <c r="F41" s="692"/>
      <c r="G41" s="693"/>
      <c r="H41" s="693"/>
      <c r="I41" s="695"/>
      <c r="J41" s="692"/>
      <c r="K41" s="742"/>
      <c r="L41" s="692"/>
      <c r="M41" s="693">
        <v>12</v>
      </c>
      <c r="N41" s="742"/>
      <c r="O41" s="693"/>
      <c r="P41" s="695"/>
      <c r="Q41" s="695"/>
      <c r="R41" s="695"/>
      <c r="S41" s="692" t="s">
        <v>1688</v>
      </c>
      <c r="T41" s="693" t="b">
        <v>1</v>
      </c>
      <c r="U41" s="887">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5"/>
      <c r="X41" s="746" t="str">
        <f>" "</f>
        <v xml:space="preserve"> </v>
      </c>
    </row>
    <row r="42" spans="1:25">
      <c r="A42" s="673" t="s">
        <v>1120</v>
      </c>
      <c r="B42" s="674">
        <v>368</v>
      </c>
      <c r="C42" s="674">
        <v>1</v>
      </c>
      <c r="D42" s="674"/>
      <c r="E42" s="674">
        <v>12</v>
      </c>
      <c r="F42" s="674"/>
      <c r="G42" s="675"/>
      <c r="H42" s="675"/>
      <c r="I42" s="678"/>
      <c r="J42" s="674"/>
      <c r="K42" s="686"/>
      <c r="L42" s="674"/>
      <c r="M42" s="675"/>
      <c r="N42" s="743"/>
      <c r="O42" s="674"/>
      <c r="P42" s="678"/>
      <c r="Q42" s="678"/>
      <c r="R42" s="678"/>
      <c r="S42" s="674" t="s">
        <v>1688</v>
      </c>
      <c r="T42" s="675" t="b">
        <v>0</v>
      </c>
      <c r="U42" s="887">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47">
        <v>1</v>
      </c>
      <c r="X42" s="748" t="str">
        <f>IF(ISNA(INDEX($A$41:$A$45,MATCH(W42,V$41:V$45,0))), "", INDEX($A$41:$A$45,MATCH(W42,V$41:V$45,0)))</f>
        <v>Greater Agility (+12 Agility)</v>
      </c>
    </row>
    <row r="43" spans="1:25">
      <c r="A43" s="673" t="s">
        <v>2810</v>
      </c>
      <c r="B43" s="674">
        <v>849</v>
      </c>
      <c r="C43" s="674">
        <v>1</v>
      </c>
      <c r="D43" s="674"/>
      <c r="E43" s="674">
        <v>3</v>
      </c>
      <c r="F43" s="674"/>
      <c r="G43" s="675"/>
      <c r="H43" s="675"/>
      <c r="I43" s="678"/>
      <c r="J43" s="674"/>
      <c r="K43" s="686"/>
      <c r="L43" s="674"/>
      <c r="M43" s="675"/>
      <c r="N43" s="743"/>
      <c r="O43" s="674"/>
      <c r="P43" s="678"/>
      <c r="Q43" s="678"/>
      <c r="R43" s="678"/>
      <c r="S43" s="674" t="s">
        <v>1688</v>
      </c>
      <c r="T43" s="675" t="b">
        <v>0</v>
      </c>
      <c r="U43" s="887">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47">
        <v>2</v>
      </c>
      <c r="X43" s="748" t="str">
        <f t="shared" ref="X43:X46" si="2">IF(ISNA(INDEX($A$41:$A$45,MATCH(W43,V$41:V$45,0))), "", INDEX($A$41:$A$45,MATCH(W43,V$41:V$45,0)))</f>
        <v>Lesser Agility (+3 Agility)</v>
      </c>
    </row>
    <row r="44" spans="1:25">
      <c r="A44" s="673" t="s">
        <v>2087</v>
      </c>
      <c r="B44" s="674">
        <v>910</v>
      </c>
      <c r="C44" s="674">
        <v>1</v>
      </c>
      <c r="D44" s="674"/>
      <c r="E44" s="674"/>
      <c r="F44" s="674"/>
      <c r="G44" s="675"/>
      <c r="H44" s="675"/>
      <c r="I44" s="678"/>
      <c r="J44" s="674"/>
      <c r="K44" s="743"/>
      <c r="L44" s="674"/>
      <c r="M44" s="675"/>
      <c r="N44" s="743"/>
      <c r="O44" s="675"/>
      <c r="P44" s="678"/>
      <c r="Q44" s="678"/>
      <c r="R44" s="678"/>
      <c r="S44" s="674" t="s">
        <v>1688</v>
      </c>
      <c r="T44" s="675" t="b">
        <v>1</v>
      </c>
      <c r="U44" s="887">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47">
        <v>3</v>
      </c>
      <c r="X44" s="748" t="str">
        <f t="shared" si="2"/>
        <v/>
      </c>
    </row>
    <row r="45" spans="1:25">
      <c r="A45" s="673" t="s">
        <v>2088</v>
      </c>
      <c r="B45" s="674">
        <v>2621</v>
      </c>
      <c r="C45" s="674">
        <v>1</v>
      </c>
      <c r="D45" s="674"/>
      <c r="E45" s="674"/>
      <c r="F45" s="674"/>
      <c r="G45" s="675"/>
      <c r="H45" s="675"/>
      <c r="I45" s="678"/>
      <c r="J45" s="674"/>
      <c r="K45" s="743"/>
      <c r="L45" s="674"/>
      <c r="M45" s="675"/>
      <c r="N45" s="743"/>
      <c r="O45" s="675"/>
      <c r="P45" s="678"/>
      <c r="Q45" s="678"/>
      <c r="R45" s="678"/>
      <c r="S45" s="674" t="s">
        <v>1688</v>
      </c>
      <c r="T45" s="675" t="b">
        <v>1</v>
      </c>
      <c r="U45" s="887">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47">
        <v>4</v>
      </c>
      <c r="X45" s="748" t="str">
        <f t="shared" si="2"/>
        <v/>
      </c>
    </row>
    <row r="46" spans="1:25">
      <c r="A46" s="673" t="s">
        <v>2206</v>
      </c>
      <c r="B46" s="674"/>
      <c r="C46" s="674"/>
      <c r="D46" s="674"/>
      <c r="E46" s="674"/>
      <c r="F46" s="674"/>
      <c r="G46" s="675"/>
      <c r="H46" s="675"/>
      <c r="I46" s="678"/>
      <c r="J46" s="674"/>
      <c r="K46" s="686"/>
      <c r="L46" s="674"/>
      <c r="M46" s="675"/>
      <c r="N46" s="743"/>
      <c r="O46" s="674"/>
      <c r="P46" s="678"/>
      <c r="Q46" s="678"/>
      <c r="R46" s="678"/>
      <c r="S46" s="674"/>
      <c r="T46" s="674"/>
      <c r="U46" s="707"/>
      <c r="V46" s="677"/>
      <c r="W46" s="747">
        <v>5</v>
      </c>
      <c r="X46" s="748"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1123</v>
      </c>
    </row>
    <row r="2" spans="1:25">
      <c r="A2" s="691" t="s">
        <v>1178</v>
      </c>
      <c r="B2" s="693">
        <v>29340</v>
      </c>
      <c r="C2" s="693">
        <v>1</v>
      </c>
      <c r="D2" s="692"/>
      <c r="E2" s="692">
        <v>24</v>
      </c>
      <c r="F2" s="692">
        <v>18</v>
      </c>
      <c r="G2" s="693"/>
      <c r="H2" s="693">
        <v>19</v>
      </c>
      <c r="I2" s="693"/>
      <c r="J2" s="692"/>
      <c r="K2" s="693"/>
      <c r="L2" s="692"/>
      <c r="M2" s="693">
        <v>24</v>
      </c>
      <c r="N2" s="693"/>
      <c r="O2" s="693"/>
      <c r="P2" s="693"/>
      <c r="Q2" s="692" t="s">
        <v>2089</v>
      </c>
      <c r="R2" s="692" t="s">
        <v>1464</v>
      </c>
      <c r="S2" s="692" t="s">
        <v>674</v>
      </c>
      <c r="T2" s="693"/>
      <c r="U2" s="887">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Auchenai Monk's Tunic</v>
      </c>
    </row>
    <row r="3" spans="1:25">
      <c r="A3" s="673" t="s">
        <v>966</v>
      </c>
      <c r="B3" s="675">
        <v>34397</v>
      </c>
      <c r="C3" s="675">
        <v>5</v>
      </c>
      <c r="D3" s="674"/>
      <c r="E3" s="674">
        <v>42</v>
      </c>
      <c r="F3" s="674">
        <v>120</v>
      </c>
      <c r="G3" s="675">
        <v>38</v>
      </c>
      <c r="H3" s="675"/>
      <c r="I3" s="675"/>
      <c r="J3" s="674">
        <v>210</v>
      </c>
      <c r="K3" s="675"/>
      <c r="L3" s="674">
        <v>45</v>
      </c>
      <c r="M3" s="675"/>
      <c r="N3" s="675"/>
      <c r="O3" s="675"/>
      <c r="P3" s="675"/>
      <c r="Q3" s="674" t="s">
        <v>2092</v>
      </c>
      <c r="R3" s="674" t="s">
        <v>1064</v>
      </c>
      <c r="S3" s="674" t="s">
        <v>870</v>
      </c>
      <c r="T3" s="675"/>
      <c r="U3" s="887">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4" si="0">HYPERLINK("https://tbc.wowhead.com/item="&amp;B3,A3)</f>
        <v>Bladed Chaos Tunic</v>
      </c>
    </row>
    <row r="4" spans="1:25">
      <c r="A4" s="673" t="s">
        <v>2090</v>
      </c>
      <c r="B4" s="675">
        <v>30101</v>
      </c>
      <c r="C4" s="675">
        <v>2</v>
      </c>
      <c r="D4" s="674"/>
      <c r="E4" s="674"/>
      <c r="F4" s="674">
        <v>92</v>
      </c>
      <c r="G4" s="675">
        <v>36</v>
      </c>
      <c r="H4" s="675">
        <v>27</v>
      </c>
      <c r="I4" s="675"/>
      <c r="J4" s="674"/>
      <c r="K4" s="675"/>
      <c r="L4" s="674">
        <v>24</v>
      </c>
      <c r="M4" s="675"/>
      <c r="N4" s="675"/>
      <c r="O4" s="675"/>
      <c r="P4" s="675"/>
      <c r="Q4" s="674" t="s">
        <v>2091</v>
      </c>
      <c r="R4" s="674" t="s">
        <v>1064</v>
      </c>
      <c r="S4" s="674" t="s">
        <v>666</v>
      </c>
      <c r="T4" s="675"/>
      <c r="U4" s="887">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IF(ISNA(INDEX($A$2:$A$35,MATCH(W4,V$2:V$35,0))), "", INDEX($A$2:$A$35,MATCH(W4,V$2:V$35,0)))</f>
        <v>Auchenai Monk's Tunic</v>
      </c>
      <c r="Y4" s="1388" t="str">
        <f t="shared" si="0"/>
        <v>Bloodsea Brigand's Vest</v>
      </c>
    </row>
    <row r="5" spans="1:25">
      <c r="A5" s="673" t="s">
        <v>2340</v>
      </c>
      <c r="B5" s="674">
        <v>22476</v>
      </c>
      <c r="C5" s="674">
        <v>1</v>
      </c>
      <c r="D5" s="674"/>
      <c r="E5" s="674"/>
      <c r="F5" s="674">
        <v>80</v>
      </c>
      <c r="G5" s="675">
        <v>28</v>
      </c>
      <c r="H5" s="675">
        <v>10</v>
      </c>
      <c r="I5" s="674"/>
      <c r="J5" s="674"/>
      <c r="K5" s="674"/>
      <c r="L5" s="674">
        <v>29</v>
      </c>
      <c r="M5" s="675"/>
      <c r="N5" s="675"/>
      <c r="O5" s="674"/>
      <c r="P5" s="674" t="s">
        <v>2334</v>
      </c>
      <c r="Q5" s="674" t="s">
        <v>1032</v>
      </c>
      <c r="R5" s="674"/>
      <c r="S5" s="674" t="s">
        <v>667</v>
      </c>
      <c r="T5" s="674"/>
      <c r="U5" s="887">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4">
        <v>2</v>
      </c>
      <c r="X5" s="710" t="str">
        <f t="shared" ref="X5:X37" si="1">IF(ISNA(INDEX($A$2:$A$35,MATCH(W5,V$2:V$35,0))), "", INDEX($A$2:$A$35,MATCH(W5,V$2:V$35,0)))</f>
        <v>Bonescythe Breastplate</v>
      </c>
      <c r="Y5" s="1388" t="str">
        <f t="shared" si="0"/>
        <v>Bonescythe Breastplate</v>
      </c>
    </row>
    <row r="6" spans="1:25">
      <c r="A6" s="673" t="s">
        <v>1985</v>
      </c>
      <c r="B6" s="674">
        <v>35036</v>
      </c>
      <c r="C6" s="674">
        <v>5</v>
      </c>
      <c r="D6" s="674"/>
      <c r="E6" s="674">
        <v>36</v>
      </c>
      <c r="F6" s="674">
        <v>58</v>
      </c>
      <c r="G6" s="675">
        <v>22</v>
      </c>
      <c r="H6" s="675">
        <v>17</v>
      </c>
      <c r="I6" s="674"/>
      <c r="J6" s="674">
        <v>84</v>
      </c>
      <c r="K6" s="674"/>
      <c r="L6" s="674">
        <v>71</v>
      </c>
      <c r="M6" s="675"/>
      <c r="N6" s="675">
        <v>25</v>
      </c>
      <c r="O6" s="674"/>
      <c r="P6" s="674" t="s">
        <v>1067</v>
      </c>
      <c r="Q6" s="674" t="s">
        <v>2089</v>
      </c>
      <c r="R6" s="674" t="s">
        <v>816</v>
      </c>
      <c r="S6" s="674" t="s">
        <v>676</v>
      </c>
      <c r="T6" s="674"/>
      <c r="U6" s="887">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4">
        <v>3</v>
      </c>
      <c r="X6" s="710" t="str">
        <f t="shared" si="1"/>
        <v>Chestguard of the Conniver</v>
      </c>
      <c r="Y6" s="1388" t="str">
        <f t="shared" si="0"/>
        <v>Brutal Gladiator's Leather Tunic</v>
      </c>
    </row>
    <row r="7" spans="1:25">
      <c r="A7" s="673" t="s">
        <v>707</v>
      </c>
      <c r="B7" s="674">
        <v>34369</v>
      </c>
      <c r="C7" s="674">
        <v>5</v>
      </c>
      <c r="D7" s="674"/>
      <c r="E7" s="674">
        <v>42</v>
      </c>
      <c r="F7" s="674">
        <v>120</v>
      </c>
      <c r="G7" s="675"/>
      <c r="H7" s="675">
        <v>30</v>
      </c>
      <c r="I7" s="674">
        <v>38</v>
      </c>
      <c r="J7" s="674"/>
      <c r="K7" s="674"/>
      <c r="L7" s="674">
        <v>45</v>
      </c>
      <c r="M7" s="675"/>
      <c r="N7" s="675"/>
      <c r="O7" s="674"/>
      <c r="P7" s="684"/>
      <c r="Q7" s="674" t="s">
        <v>2089</v>
      </c>
      <c r="R7" s="674" t="s">
        <v>1064</v>
      </c>
      <c r="S7" s="674" t="s">
        <v>686</v>
      </c>
      <c r="T7" s="674"/>
      <c r="U7" s="887">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Chestguard of the Prowler</v>
      </c>
      <c r="Y7" s="1388" t="str">
        <f t="shared" si="0"/>
        <v>Carapace of Sun and Shadow</v>
      </c>
    </row>
    <row r="8" spans="1:25" s="47" customFormat="1">
      <c r="A8" s="673" t="s">
        <v>1124</v>
      </c>
      <c r="B8" s="674">
        <v>28601</v>
      </c>
      <c r="C8" s="674">
        <v>1</v>
      </c>
      <c r="D8" s="674"/>
      <c r="E8" s="674">
        <v>37</v>
      </c>
      <c r="F8" s="674">
        <v>90</v>
      </c>
      <c r="G8" s="675"/>
      <c r="H8" s="675">
        <v>22</v>
      </c>
      <c r="I8" s="674"/>
      <c r="J8" s="674"/>
      <c r="K8" s="674"/>
      <c r="L8" s="674">
        <v>36</v>
      </c>
      <c r="M8" s="675"/>
      <c r="N8" s="675"/>
      <c r="O8" s="674"/>
      <c r="P8" s="684"/>
      <c r="Q8" s="674" t="s">
        <v>1032</v>
      </c>
      <c r="R8" s="674"/>
      <c r="S8" s="675" t="s">
        <v>671</v>
      </c>
      <c r="T8" s="674"/>
      <c r="U8" s="887">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4">
        <v>5</v>
      </c>
      <c r="X8" s="710" t="str">
        <f t="shared" si="1"/>
        <v>Gladiator's Leather Tunic</v>
      </c>
      <c r="Y8" s="1388" t="str">
        <f t="shared" si="0"/>
        <v>Chestguard of the Conniver</v>
      </c>
    </row>
    <row r="9" spans="1:25">
      <c r="A9" s="673" t="s">
        <v>954</v>
      </c>
      <c r="B9" s="674">
        <v>27461</v>
      </c>
      <c r="C9" s="674">
        <v>1</v>
      </c>
      <c r="D9" s="674"/>
      <c r="E9" s="674">
        <v>31</v>
      </c>
      <c r="F9" s="674">
        <v>70</v>
      </c>
      <c r="G9" s="675"/>
      <c r="H9" s="675">
        <v>17</v>
      </c>
      <c r="I9" s="674"/>
      <c r="J9" s="674"/>
      <c r="K9" s="674"/>
      <c r="L9" s="674">
        <v>26</v>
      </c>
      <c r="M9" s="675"/>
      <c r="N9" s="675"/>
      <c r="O9" s="674"/>
      <c r="P9" s="684"/>
      <c r="Q9" s="674" t="s">
        <v>1032</v>
      </c>
      <c r="R9" s="674"/>
      <c r="S9" s="674" t="s">
        <v>690</v>
      </c>
      <c r="T9" s="674"/>
      <c r="U9" s="887">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4">
        <v>6</v>
      </c>
      <c r="X9" s="710" t="str">
        <f t="shared" si="1"/>
        <v>Hauberk of Karabor</v>
      </c>
      <c r="Y9" s="1388" t="str">
        <f t="shared" si="0"/>
        <v>Chestguard of the Prowler</v>
      </c>
    </row>
    <row r="10" spans="1:25">
      <c r="A10" s="673" t="s">
        <v>814</v>
      </c>
      <c r="B10" s="674">
        <v>30144</v>
      </c>
      <c r="C10" s="674">
        <v>2</v>
      </c>
      <c r="D10" s="674"/>
      <c r="E10" s="674">
        <v>33</v>
      </c>
      <c r="F10" s="674">
        <v>94</v>
      </c>
      <c r="G10" s="675">
        <v>17</v>
      </c>
      <c r="H10" s="675"/>
      <c r="I10" s="674"/>
      <c r="J10" s="674"/>
      <c r="K10" s="674"/>
      <c r="L10" s="674">
        <v>57</v>
      </c>
      <c r="M10" s="675"/>
      <c r="N10" s="675"/>
      <c r="O10" s="674"/>
      <c r="P10" s="674" t="s">
        <v>1062</v>
      </c>
      <c r="Q10" s="674" t="s">
        <v>2091</v>
      </c>
      <c r="R10" s="674" t="s">
        <v>1055</v>
      </c>
      <c r="S10" s="674" t="s">
        <v>679</v>
      </c>
      <c r="T10" s="674"/>
      <c r="U10" s="887">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Illidari Lord's Tunic</v>
      </c>
      <c r="Y10" s="1388" t="str">
        <f t="shared" si="0"/>
        <v>Deathmantle Chestguard</v>
      </c>
    </row>
    <row r="11" spans="1:25">
      <c r="A11" s="673" t="s">
        <v>1884</v>
      </c>
      <c r="B11" s="674">
        <v>34906</v>
      </c>
      <c r="C11" s="674">
        <v>5</v>
      </c>
      <c r="D11" s="674">
        <v>40</v>
      </c>
      <c r="E11" s="674">
        <v>49</v>
      </c>
      <c r="F11" s="674"/>
      <c r="G11" s="675"/>
      <c r="H11" s="675"/>
      <c r="I11" s="674">
        <v>20</v>
      </c>
      <c r="J11" s="674"/>
      <c r="K11" s="674"/>
      <c r="L11" s="674">
        <v>52</v>
      </c>
      <c r="M11" s="675"/>
      <c r="N11" s="675"/>
      <c r="O11" s="674"/>
      <c r="P11" s="674"/>
      <c r="Q11" s="674" t="s">
        <v>1034</v>
      </c>
      <c r="R11" s="674" t="s">
        <v>1337</v>
      </c>
      <c r="S11" s="674" t="s">
        <v>690</v>
      </c>
      <c r="T11" s="674"/>
      <c r="U11" s="887">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Mag'hari Scout's Tunic</v>
      </c>
      <c r="Y11" s="1388" t="str">
        <f t="shared" si="0"/>
        <v>Embrace of Everlasting Prowess</v>
      </c>
    </row>
    <row r="12" spans="1:25">
      <c r="A12" s="673" t="s">
        <v>815</v>
      </c>
      <c r="B12" s="674">
        <v>25831</v>
      </c>
      <c r="C12" s="674">
        <v>1</v>
      </c>
      <c r="D12" s="674"/>
      <c r="E12" s="674">
        <v>33</v>
      </c>
      <c r="F12" s="674">
        <v>30</v>
      </c>
      <c r="G12" s="675">
        <v>12</v>
      </c>
      <c r="H12" s="675"/>
      <c r="I12" s="674"/>
      <c r="J12" s="674"/>
      <c r="K12" s="674"/>
      <c r="L12" s="674">
        <v>50</v>
      </c>
      <c r="M12" s="675"/>
      <c r="N12" s="675">
        <v>23</v>
      </c>
      <c r="O12" s="674"/>
      <c r="P12" s="674" t="s">
        <v>1067</v>
      </c>
      <c r="Q12" s="674" t="s">
        <v>2089</v>
      </c>
      <c r="R12" s="674" t="s">
        <v>816</v>
      </c>
      <c r="S12" s="674" t="s">
        <v>676</v>
      </c>
      <c r="T12" s="674"/>
      <c r="U12" s="887">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4">
        <v>9</v>
      </c>
      <c r="X12" s="710" t="str">
        <f t="shared" si="1"/>
        <v>Netherblade Chestpiece</v>
      </c>
      <c r="Y12" s="1388" t="str">
        <f t="shared" si="0"/>
        <v>Gladiator's Leather Tunic</v>
      </c>
    </row>
    <row r="13" spans="1:25" s="129" customFormat="1">
      <c r="A13" s="673" t="s">
        <v>869</v>
      </c>
      <c r="B13" s="674">
        <v>34211</v>
      </c>
      <c r="C13" s="674">
        <v>5</v>
      </c>
      <c r="D13" s="674">
        <v>52</v>
      </c>
      <c r="E13" s="674">
        <v>44</v>
      </c>
      <c r="F13" s="674"/>
      <c r="G13" s="674"/>
      <c r="H13" s="674"/>
      <c r="I13" s="674"/>
      <c r="J13" s="674">
        <v>196</v>
      </c>
      <c r="K13" s="674"/>
      <c r="L13" s="674">
        <v>64</v>
      </c>
      <c r="M13" s="674"/>
      <c r="N13" s="674"/>
      <c r="O13" s="674"/>
      <c r="P13" s="674"/>
      <c r="Q13" s="674" t="s">
        <v>2092</v>
      </c>
      <c r="R13" s="674" t="s">
        <v>1055</v>
      </c>
      <c r="S13" s="674" t="s">
        <v>870</v>
      </c>
      <c r="T13" s="674"/>
      <c r="U13" s="887">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Opportunist's Leather Tunic</v>
      </c>
      <c r="Y13" s="1388" t="str">
        <f t="shared" si="0"/>
        <v>Harness of Carnal Instinct</v>
      </c>
    </row>
    <row r="14" spans="1:25" s="129" customFormat="1">
      <c r="A14" s="673" t="s">
        <v>817</v>
      </c>
      <c r="B14" s="674">
        <v>30933</v>
      </c>
      <c r="C14" s="674">
        <v>1</v>
      </c>
      <c r="D14" s="674"/>
      <c r="E14" s="674">
        <v>25</v>
      </c>
      <c r="F14" s="674">
        <v>90</v>
      </c>
      <c r="G14" s="674"/>
      <c r="H14" s="674">
        <v>12</v>
      </c>
      <c r="I14" s="674"/>
      <c r="J14" s="674"/>
      <c r="K14" s="674"/>
      <c r="L14" s="674">
        <v>18</v>
      </c>
      <c r="M14" s="674"/>
      <c r="N14" s="674"/>
      <c r="O14" s="674"/>
      <c r="P14" s="674"/>
      <c r="Q14" s="674" t="s">
        <v>1032</v>
      </c>
      <c r="R14" s="674"/>
      <c r="S14" s="674" t="s">
        <v>674</v>
      </c>
      <c r="T14" s="674"/>
      <c r="U14" s="887">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4">
        <v>11</v>
      </c>
      <c r="X14" s="710" t="str">
        <f t="shared" si="1"/>
        <v>Primalstorm Breastplate</v>
      </c>
      <c r="Y14" s="1388" t="str">
        <f t="shared" si="0"/>
        <v>Hauberk of Karabor</v>
      </c>
    </row>
    <row r="15" spans="1:25" s="129" customFormat="1">
      <c r="A15" s="679" t="s">
        <v>2341</v>
      </c>
      <c r="B15" s="674">
        <v>32869</v>
      </c>
      <c r="C15" s="674">
        <v>1</v>
      </c>
      <c r="D15" s="674"/>
      <c r="E15" s="674">
        <v>29</v>
      </c>
      <c r="F15" s="674">
        <v>44</v>
      </c>
      <c r="G15" s="674"/>
      <c r="H15" s="674"/>
      <c r="I15" s="674"/>
      <c r="J15" s="674"/>
      <c r="K15" s="674"/>
      <c r="L15" s="674">
        <v>24</v>
      </c>
      <c r="M15" s="674"/>
      <c r="N15" s="674"/>
      <c r="O15" s="674"/>
      <c r="P15" s="674"/>
      <c r="Q15" s="674" t="s">
        <v>2342</v>
      </c>
      <c r="R15" s="674"/>
      <c r="S15" s="674" t="s">
        <v>674</v>
      </c>
      <c r="T15" s="674"/>
      <c r="U15" s="887">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4">
        <v>12</v>
      </c>
      <c r="X15" s="710" t="str">
        <f t="shared" si="1"/>
        <v>Primalstrike Vest</v>
      </c>
      <c r="Y15" s="1388" t="str">
        <f t="shared" si="0"/>
        <v>Illidari Lord's Tunic</v>
      </c>
    </row>
    <row r="16" spans="1:25">
      <c r="A16" s="673" t="s">
        <v>818</v>
      </c>
      <c r="B16" s="674">
        <v>28172</v>
      </c>
      <c r="C16" s="674">
        <v>1</v>
      </c>
      <c r="D16" s="674"/>
      <c r="E16" s="674">
        <v>23</v>
      </c>
      <c r="F16" s="674">
        <v>86</v>
      </c>
      <c r="G16" s="674"/>
      <c r="H16" s="674">
        <v>12</v>
      </c>
      <c r="I16" s="674"/>
      <c r="J16" s="674"/>
      <c r="K16" s="674"/>
      <c r="L16" s="674">
        <v>18</v>
      </c>
      <c r="M16" s="674"/>
      <c r="N16" s="674"/>
      <c r="O16" s="674"/>
      <c r="P16" s="674"/>
      <c r="Q16" s="674" t="s">
        <v>1032</v>
      </c>
      <c r="R16" s="674"/>
      <c r="S16" s="674" t="s">
        <v>674</v>
      </c>
      <c r="T16" s="674"/>
      <c r="U16" s="887">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4">
        <v>13</v>
      </c>
      <c r="X16" s="710" t="str">
        <f t="shared" si="1"/>
        <v>Protectorate Assassin's Tunic</v>
      </c>
      <c r="Y16" s="1388" t="str">
        <f t="shared" si="0"/>
        <v>Mag'hari Scout's Tunic</v>
      </c>
    </row>
    <row r="17" spans="1:25">
      <c r="A17" s="673" t="s">
        <v>820</v>
      </c>
      <c r="B17" s="674">
        <v>32002</v>
      </c>
      <c r="C17" s="674">
        <v>2</v>
      </c>
      <c r="D17" s="674"/>
      <c r="E17" s="674">
        <v>37</v>
      </c>
      <c r="F17" s="674">
        <v>40</v>
      </c>
      <c r="G17" s="675">
        <v>13</v>
      </c>
      <c r="H17" s="675"/>
      <c r="I17" s="674"/>
      <c r="J17" s="674"/>
      <c r="K17" s="674"/>
      <c r="L17" s="674">
        <v>57</v>
      </c>
      <c r="M17" s="675"/>
      <c r="N17" s="675">
        <v>25</v>
      </c>
      <c r="O17" s="674"/>
      <c r="P17" s="674" t="s">
        <v>1067</v>
      </c>
      <c r="Q17" s="674" t="s">
        <v>2089</v>
      </c>
      <c r="R17" s="674" t="s">
        <v>816</v>
      </c>
      <c r="S17" s="674" t="s">
        <v>676</v>
      </c>
      <c r="T17" s="674"/>
      <c r="U17" s="887">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Terrorweave Tunic</v>
      </c>
      <c r="Y17" s="1388" t="str">
        <f t="shared" si="0"/>
        <v>Merciless Gladiator's Leather Tunic</v>
      </c>
    </row>
    <row r="18" spans="1:25">
      <c r="A18" s="673" t="s">
        <v>499</v>
      </c>
      <c r="B18" s="674">
        <v>30905</v>
      </c>
      <c r="C18" s="674">
        <v>3</v>
      </c>
      <c r="D18" s="674"/>
      <c r="E18" s="674"/>
      <c r="F18" s="674">
        <v>106</v>
      </c>
      <c r="G18" s="674">
        <v>46</v>
      </c>
      <c r="H18" s="674">
        <v>29</v>
      </c>
      <c r="I18" s="674"/>
      <c r="J18" s="674"/>
      <c r="K18" s="674"/>
      <c r="L18" s="674">
        <v>64</v>
      </c>
      <c r="M18" s="674"/>
      <c r="N18" s="674"/>
      <c r="O18" s="674"/>
      <c r="P18" s="674"/>
      <c r="Q18" s="674" t="s">
        <v>2092</v>
      </c>
      <c r="R18" s="674" t="s">
        <v>1064</v>
      </c>
      <c r="S18" s="674" t="s">
        <v>683</v>
      </c>
      <c r="T18" s="674"/>
      <c r="U18" s="887">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Tunic of Assassination</v>
      </c>
      <c r="Y18" s="1388" t="str">
        <f t="shared" si="0"/>
        <v>Midnight Chestguard</v>
      </c>
    </row>
    <row r="19" spans="1:25">
      <c r="A19" s="673" t="s">
        <v>822</v>
      </c>
      <c r="B19" s="674">
        <v>32252</v>
      </c>
      <c r="C19" s="674">
        <v>3</v>
      </c>
      <c r="D19" s="674"/>
      <c r="E19" s="674">
        <v>36</v>
      </c>
      <c r="F19" s="674">
        <v>86</v>
      </c>
      <c r="G19" s="675"/>
      <c r="H19" s="675">
        <v>35</v>
      </c>
      <c r="I19" s="674"/>
      <c r="J19" s="674"/>
      <c r="K19" s="674"/>
      <c r="L19" s="674">
        <v>52</v>
      </c>
      <c r="M19" s="675"/>
      <c r="N19" s="675"/>
      <c r="O19" s="674"/>
      <c r="P19" s="674"/>
      <c r="Q19" s="674" t="s">
        <v>2092</v>
      </c>
      <c r="R19" s="674" t="s">
        <v>1064</v>
      </c>
      <c r="S19" s="674" t="s">
        <v>682</v>
      </c>
      <c r="T19" s="674"/>
      <c r="U19" s="887">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4">
        <v>16</v>
      </c>
      <c r="X19" s="710" t="str">
        <f t="shared" si="1"/>
        <v>Vest of Vengeance</v>
      </c>
      <c r="Y19" s="1388" t="str">
        <f t="shared" si="0"/>
        <v>Nether Shadow Tunic</v>
      </c>
    </row>
    <row r="20" spans="1:25">
      <c r="A20" s="673" t="s">
        <v>821</v>
      </c>
      <c r="B20" s="674">
        <v>29045</v>
      </c>
      <c r="C20" s="674">
        <v>1</v>
      </c>
      <c r="D20" s="674"/>
      <c r="E20" s="674">
        <v>35</v>
      </c>
      <c r="F20" s="674">
        <v>74</v>
      </c>
      <c r="G20" s="675"/>
      <c r="H20" s="675">
        <v>11</v>
      </c>
      <c r="I20" s="674"/>
      <c r="J20" s="674"/>
      <c r="K20" s="674"/>
      <c r="L20" s="674">
        <v>39</v>
      </c>
      <c r="M20" s="675"/>
      <c r="N20" s="675"/>
      <c r="O20" s="674"/>
      <c r="P20" s="674" t="s">
        <v>1077</v>
      </c>
      <c r="Q20" s="674" t="s">
        <v>2092</v>
      </c>
      <c r="R20" s="674" t="s">
        <v>1055</v>
      </c>
      <c r="S20" s="674" t="s">
        <v>678</v>
      </c>
      <c r="T20" s="674"/>
      <c r="U20" s="887">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4">
        <v>17</v>
      </c>
      <c r="X20" s="710" t="str">
        <f t="shared" si="1"/>
        <v>Wastewalker Tunic</v>
      </c>
      <c r="Y20" s="1388" t="str">
        <f t="shared" si="0"/>
        <v>Netherblade Chestpiece</v>
      </c>
    </row>
    <row r="21" spans="1:25">
      <c r="A21" s="673" t="s">
        <v>705</v>
      </c>
      <c r="B21" s="674">
        <v>35370</v>
      </c>
      <c r="C21" s="674">
        <v>1</v>
      </c>
      <c r="D21" s="674"/>
      <c r="E21" s="674">
        <v>20</v>
      </c>
      <c r="F21" s="674">
        <v>12</v>
      </c>
      <c r="G21" s="675">
        <v>10</v>
      </c>
      <c r="H21" s="675"/>
      <c r="I21" s="674"/>
      <c r="J21" s="674"/>
      <c r="K21" s="674"/>
      <c r="L21" s="674">
        <v>42</v>
      </c>
      <c r="M21" s="675"/>
      <c r="N21" s="675">
        <v>24</v>
      </c>
      <c r="O21" s="674"/>
      <c r="P21" s="674" t="s">
        <v>2858</v>
      </c>
      <c r="Q21" s="674" t="s">
        <v>2089</v>
      </c>
      <c r="R21" s="674" t="s">
        <v>816</v>
      </c>
      <c r="S21" s="674" t="s">
        <v>675</v>
      </c>
      <c r="T21" s="674"/>
      <c r="U21" s="887">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4">
        <v>18</v>
      </c>
      <c r="X21" s="710" t="str">
        <f t="shared" ref="X21" si="2">IF(ISNA(INDEX($A$2:$A$35,MATCH(W21,V$2:V$35,0))), "", INDEX($A$2:$A$35,MATCH(W21,V$2:V$35,0)))</f>
        <v>(Unmodeled)</v>
      </c>
      <c r="Y21" s="1388" t="str">
        <f t="shared" si="0"/>
        <v>Opportunist's Leather Tunic</v>
      </c>
    </row>
    <row r="22" spans="1:25">
      <c r="A22" s="673" t="s">
        <v>826</v>
      </c>
      <c r="B22" s="674">
        <v>29973</v>
      </c>
      <c r="C22" s="674">
        <v>1</v>
      </c>
      <c r="D22" s="674"/>
      <c r="E22" s="674">
        <v>30</v>
      </c>
      <c r="F22" s="674">
        <v>60</v>
      </c>
      <c r="G22" s="675"/>
      <c r="H22" s="675">
        <v>17</v>
      </c>
      <c r="I22" s="674"/>
      <c r="J22" s="674"/>
      <c r="K22" s="674"/>
      <c r="L22" s="674">
        <v>27</v>
      </c>
      <c r="M22" s="675"/>
      <c r="N22" s="675"/>
      <c r="O22" s="674"/>
      <c r="P22" s="674"/>
      <c r="Q22" s="674" t="s">
        <v>1032</v>
      </c>
      <c r="R22" s="674"/>
      <c r="S22" s="674" t="s">
        <v>686</v>
      </c>
      <c r="T22" s="674"/>
      <c r="U22" s="887">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4">
        <v>19</v>
      </c>
      <c r="X22" s="710" t="str">
        <f t="shared" si="1"/>
        <v/>
      </c>
      <c r="Y22" s="1388" t="str">
        <f t="shared" si="0"/>
        <v>Primalstorm Breastplate</v>
      </c>
    </row>
    <row r="23" spans="1:25">
      <c r="A23" s="673" t="s">
        <v>824</v>
      </c>
      <c r="B23" s="674">
        <v>29525</v>
      </c>
      <c r="C23" s="674">
        <v>1</v>
      </c>
      <c r="D23" s="674"/>
      <c r="E23" s="674">
        <v>38</v>
      </c>
      <c r="F23" s="674">
        <v>108</v>
      </c>
      <c r="G23" s="675"/>
      <c r="H23" s="675">
        <v>12</v>
      </c>
      <c r="I23" s="674"/>
      <c r="J23" s="674"/>
      <c r="K23" s="674"/>
      <c r="L23" s="674">
        <v>39</v>
      </c>
      <c r="M23" s="675"/>
      <c r="N23" s="675"/>
      <c r="O23" s="674"/>
      <c r="P23" s="674" t="s">
        <v>825</v>
      </c>
      <c r="Q23" s="674" t="s">
        <v>1032</v>
      </c>
      <c r="R23" s="674"/>
      <c r="S23" s="674" t="s">
        <v>686</v>
      </c>
      <c r="T23" s="674"/>
      <c r="U23" s="887">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4">
        <v>20</v>
      </c>
      <c r="X23" s="710" t="str">
        <f t="shared" si="1"/>
        <v/>
      </c>
      <c r="Y23" s="1388" t="str">
        <f t="shared" si="0"/>
        <v>Primalstrike Vest</v>
      </c>
    </row>
    <row r="24" spans="1:25">
      <c r="A24" s="673" t="s">
        <v>827</v>
      </c>
      <c r="B24" s="674">
        <v>30328</v>
      </c>
      <c r="C24" s="674">
        <v>1</v>
      </c>
      <c r="D24" s="674"/>
      <c r="E24" s="674">
        <v>26</v>
      </c>
      <c r="F24" s="674">
        <v>52</v>
      </c>
      <c r="G24" s="675"/>
      <c r="H24" s="675">
        <v>21</v>
      </c>
      <c r="I24" s="674"/>
      <c r="J24" s="674"/>
      <c r="K24" s="674"/>
      <c r="L24" s="674">
        <v>24</v>
      </c>
      <c r="M24" s="675"/>
      <c r="N24" s="675"/>
      <c r="O24" s="674"/>
      <c r="P24" s="674"/>
      <c r="Q24" s="674" t="s">
        <v>1032</v>
      </c>
      <c r="R24" s="674"/>
      <c r="S24" s="674" t="s">
        <v>674</v>
      </c>
      <c r="T24" s="674"/>
      <c r="U24" s="887">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4">
        <v>21</v>
      </c>
      <c r="X24" s="710" t="str">
        <f t="shared" si="1"/>
        <v/>
      </c>
      <c r="Y24" s="1388" t="str">
        <f t="shared" si="0"/>
        <v>Protectorate Assassin's Tunic</v>
      </c>
    </row>
    <row r="25" spans="1:25">
      <c r="A25" s="679" t="s">
        <v>1470</v>
      </c>
      <c r="B25" s="674">
        <v>33204</v>
      </c>
      <c r="C25" s="674">
        <v>3</v>
      </c>
      <c r="D25" s="674">
        <v>32</v>
      </c>
      <c r="E25" s="674">
        <v>40</v>
      </c>
      <c r="F25" s="674"/>
      <c r="G25" s="675"/>
      <c r="H25" s="675">
        <v>8</v>
      </c>
      <c r="I25" s="674"/>
      <c r="J25" s="674"/>
      <c r="K25" s="674"/>
      <c r="L25" s="674">
        <v>12</v>
      </c>
      <c r="M25" s="675"/>
      <c r="N25" s="675"/>
      <c r="O25" s="674"/>
      <c r="P25" s="674"/>
      <c r="Q25" s="674" t="s">
        <v>2092</v>
      </c>
      <c r="R25" s="674" t="s">
        <v>1055</v>
      </c>
      <c r="S25" s="674" t="s">
        <v>684</v>
      </c>
      <c r="T25" s="674"/>
      <c r="U25" s="887">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
      </c>
      <c r="Y25" s="1388" t="str">
        <f t="shared" si="0"/>
        <v>Shadowprowler's Chestguard</v>
      </c>
    </row>
    <row r="26" spans="1:25">
      <c r="A26" s="673" t="s">
        <v>545</v>
      </c>
      <c r="B26" s="674">
        <v>33329</v>
      </c>
      <c r="C26" s="674">
        <v>4</v>
      </c>
      <c r="D26" s="674"/>
      <c r="E26" s="674">
        <v>45</v>
      </c>
      <c r="F26" s="674">
        <v>92</v>
      </c>
      <c r="G26" s="675"/>
      <c r="H26" s="675"/>
      <c r="I26" s="674"/>
      <c r="J26" s="674">
        <v>210</v>
      </c>
      <c r="K26" s="674"/>
      <c r="L26" s="674">
        <v>46</v>
      </c>
      <c r="M26" s="675"/>
      <c r="N26" s="675"/>
      <c r="O26" s="674"/>
      <c r="P26" s="674"/>
      <c r="Q26" s="674" t="s">
        <v>1032</v>
      </c>
      <c r="R26" s="674"/>
      <c r="S26" s="674" t="s">
        <v>663</v>
      </c>
      <c r="T26" s="674"/>
      <c r="U26" s="887">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Shadowtooth Trollskin Cuirass</v>
      </c>
    </row>
    <row r="27" spans="1:25">
      <c r="A27" s="673" t="s">
        <v>828</v>
      </c>
      <c r="B27" s="674">
        <v>31028</v>
      </c>
      <c r="C27" s="674">
        <v>3</v>
      </c>
      <c r="D27" s="674"/>
      <c r="E27" s="674">
        <v>45</v>
      </c>
      <c r="F27" s="674">
        <v>92</v>
      </c>
      <c r="G27" s="675">
        <v>28</v>
      </c>
      <c r="H27" s="675">
        <v>15</v>
      </c>
      <c r="I27" s="674"/>
      <c r="J27" s="674"/>
      <c r="K27" s="674"/>
      <c r="L27" s="674">
        <v>55</v>
      </c>
      <c r="M27" s="675"/>
      <c r="N27" s="675"/>
      <c r="O27" s="674"/>
      <c r="P27" s="674" t="s">
        <v>998</v>
      </c>
      <c r="Q27" s="674" t="s">
        <v>2091</v>
      </c>
      <c r="R27" s="674" t="s">
        <v>1064</v>
      </c>
      <c r="S27" s="674" t="s">
        <v>682</v>
      </c>
      <c r="T27" s="674"/>
      <c r="U27" s="887">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
      </c>
      <c r="Y27" s="1388" t="str">
        <f t="shared" si="0"/>
        <v>Slayer's Chestguard</v>
      </c>
    </row>
    <row r="28" spans="1:25">
      <c r="A28" s="673" t="s">
        <v>829</v>
      </c>
      <c r="B28" s="674">
        <v>30730</v>
      </c>
      <c r="C28" s="674">
        <v>1</v>
      </c>
      <c r="D28" s="674"/>
      <c r="E28" s="674"/>
      <c r="F28" s="674">
        <v>96</v>
      </c>
      <c r="G28" s="675">
        <v>25</v>
      </c>
      <c r="H28" s="675">
        <v>21</v>
      </c>
      <c r="I28" s="674"/>
      <c r="J28" s="674"/>
      <c r="K28" s="674"/>
      <c r="L28" s="674"/>
      <c r="M28" s="675"/>
      <c r="N28" s="675"/>
      <c r="O28" s="674"/>
      <c r="P28" s="674"/>
      <c r="Q28" s="674" t="s">
        <v>830</v>
      </c>
      <c r="R28" s="674" t="s">
        <v>816</v>
      </c>
      <c r="S28" s="674" t="s">
        <v>680</v>
      </c>
      <c r="T28" s="674"/>
      <c r="U28" s="887">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4">
        <v>25</v>
      </c>
      <c r="X28" s="710" t="str">
        <f t="shared" si="1"/>
        <v/>
      </c>
      <c r="Y28" s="1388" t="str">
        <f t="shared" si="0"/>
        <v>Terrorweave Tunic</v>
      </c>
    </row>
    <row r="29" spans="1:25">
      <c r="A29" s="673" t="s">
        <v>2052</v>
      </c>
      <c r="B29" s="674">
        <v>28204</v>
      </c>
      <c r="C29" s="674">
        <v>1</v>
      </c>
      <c r="D29" s="674"/>
      <c r="E29" s="674">
        <v>28</v>
      </c>
      <c r="F29" s="674">
        <v>54</v>
      </c>
      <c r="G29" s="675"/>
      <c r="H29" s="675"/>
      <c r="I29" s="674"/>
      <c r="J29" s="674"/>
      <c r="K29" s="674"/>
      <c r="L29" s="674">
        <v>21</v>
      </c>
      <c r="M29" s="675"/>
      <c r="N29" s="675"/>
      <c r="O29" s="674"/>
      <c r="P29" s="674" t="s">
        <v>2145</v>
      </c>
      <c r="Q29" s="674" t="s">
        <v>2053</v>
      </c>
      <c r="R29" s="674" t="s">
        <v>1071</v>
      </c>
      <c r="S29" s="674" t="s">
        <v>672</v>
      </c>
      <c r="T29" s="674"/>
      <c r="U29" s="887">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4">
        <v>26</v>
      </c>
      <c r="X29" s="710" t="str">
        <f t="shared" si="1"/>
        <v/>
      </c>
      <c r="Y29" s="1388" t="str">
        <f t="shared" si="0"/>
        <v>Tunic of Assassination</v>
      </c>
    </row>
    <row r="30" spans="1:25">
      <c r="A30" s="673" t="s">
        <v>1890</v>
      </c>
      <c r="B30" s="674">
        <v>34927</v>
      </c>
      <c r="C30" s="674">
        <v>5</v>
      </c>
      <c r="D30" s="674"/>
      <c r="E30" s="674">
        <v>44</v>
      </c>
      <c r="F30" s="674">
        <v>102</v>
      </c>
      <c r="G30" s="675"/>
      <c r="H30" s="675">
        <v>34</v>
      </c>
      <c r="I30" s="674"/>
      <c r="J30" s="674"/>
      <c r="K30" s="674"/>
      <c r="L30" s="674">
        <v>51</v>
      </c>
      <c r="M30" s="675"/>
      <c r="N30" s="675"/>
      <c r="O30" s="674"/>
      <c r="P30" s="674"/>
      <c r="Q30" s="674" t="s">
        <v>1034</v>
      </c>
      <c r="R30" s="674" t="s">
        <v>1337</v>
      </c>
      <c r="S30" s="674" t="s">
        <v>690</v>
      </c>
      <c r="T30" s="674"/>
      <c r="U30" s="887">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Tunic of the Dark Hour</v>
      </c>
    </row>
    <row r="31" spans="1:25">
      <c r="A31" s="673" t="s">
        <v>1526</v>
      </c>
      <c r="B31" s="674">
        <v>33704</v>
      </c>
      <c r="C31" s="674">
        <v>3</v>
      </c>
      <c r="D31" s="674"/>
      <c r="E31" s="674">
        <v>31</v>
      </c>
      <c r="F31" s="674">
        <v>48</v>
      </c>
      <c r="G31" s="675">
        <v>17</v>
      </c>
      <c r="H31" s="675">
        <v>12</v>
      </c>
      <c r="I31" s="674"/>
      <c r="J31" s="674">
        <v>84</v>
      </c>
      <c r="K31" s="674"/>
      <c r="L31" s="674">
        <v>64</v>
      </c>
      <c r="M31" s="675"/>
      <c r="N31" s="675">
        <v>25</v>
      </c>
      <c r="O31" s="674"/>
      <c r="P31" s="674" t="s">
        <v>1067</v>
      </c>
      <c r="Q31" s="674" t="s">
        <v>2089</v>
      </c>
      <c r="R31" s="674" t="s">
        <v>816</v>
      </c>
      <c r="S31" s="674" t="s">
        <v>676</v>
      </c>
      <c r="T31" s="674"/>
      <c r="U31" s="887">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Vengeful Gladiator's Leather Tunic</v>
      </c>
    </row>
    <row r="32" spans="1:25">
      <c r="A32" s="720" t="s">
        <v>2054</v>
      </c>
      <c r="B32" s="723">
        <v>24396</v>
      </c>
      <c r="C32" s="723">
        <v>1</v>
      </c>
      <c r="D32" s="723"/>
      <c r="E32" s="723">
        <v>27</v>
      </c>
      <c r="F32" s="723">
        <v>42</v>
      </c>
      <c r="G32" s="724"/>
      <c r="H32" s="724">
        <v>11</v>
      </c>
      <c r="I32" s="723"/>
      <c r="J32" s="723"/>
      <c r="K32" s="723"/>
      <c r="L32" s="723">
        <v>18</v>
      </c>
      <c r="M32" s="724"/>
      <c r="N32" s="724"/>
      <c r="O32" s="723"/>
      <c r="P32" s="723"/>
      <c r="Q32" s="723" t="s">
        <v>2092</v>
      </c>
      <c r="R32" s="723" t="s">
        <v>1071</v>
      </c>
      <c r="S32" s="674" t="s">
        <v>672</v>
      </c>
      <c r="T32" s="674"/>
      <c r="U32" s="887">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4">
        <v>29</v>
      </c>
      <c r="X32" s="710" t="str">
        <f t="shared" si="1"/>
        <v/>
      </c>
      <c r="Y32" s="1388"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77" t="s">
        <v>690</v>
      </c>
      <c r="T33" s="674"/>
      <c r="U33" s="887">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77" t="s">
        <v>690</v>
      </c>
      <c r="T34" s="674"/>
      <c r="U34" s="887">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4">
        <v>31</v>
      </c>
      <c r="X34" s="710" t="str">
        <f t="shared" si="1"/>
        <v/>
      </c>
      <c r="Y34" s="1388"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6">
        <f>'Gear &amp; Buffs'!$S$160</f>
        <v>0</v>
      </c>
      <c r="S35" s="677"/>
      <c r="T35" s="674"/>
      <c r="U35" s="887">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77">
        <f>MAX($V$1:V34)+1</f>
        <v>18</v>
      </c>
      <c r="W35" s="734">
        <v>32</v>
      </c>
      <c r="X35" s="710" t="str">
        <f t="shared" si="1"/>
        <v/>
      </c>
    </row>
    <row r="36" spans="1:25">
      <c r="A36" s="10" t="s">
        <v>2206</v>
      </c>
      <c r="B36" s="114"/>
      <c r="C36" s="114"/>
      <c r="D36" s="114"/>
      <c r="E36" s="114"/>
      <c r="F36" s="114"/>
      <c r="G36" s="116"/>
      <c r="H36" s="116"/>
      <c r="I36" s="47"/>
      <c r="J36" s="114"/>
      <c r="K36" s="114"/>
      <c r="L36" s="114"/>
      <c r="M36" s="116"/>
      <c r="N36" s="116"/>
      <c r="O36" s="751"/>
      <c r="P36" s="47"/>
      <c r="Q36" s="114" t="s">
        <v>1032</v>
      </c>
      <c r="R36" s="47"/>
      <c r="S36" s="677"/>
      <c r="T36" s="713"/>
      <c r="U36" s="707"/>
      <c r="V36" s="677"/>
      <c r="W36" s="734">
        <v>33</v>
      </c>
      <c r="X36" s="710" t="str">
        <f t="shared" si="1"/>
        <v/>
      </c>
    </row>
    <row r="37" spans="1:25">
      <c r="A37" s="10"/>
      <c r="D37" s="114"/>
      <c r="E37" s="114"/>
      <c r="F37" s="114"/>
      <c r="G37" s="116"/>
      <c r="H37" s="116"/>
      <c r="J37" s="114"/>
      <c r="K37" s="114"/>
      <c r="L37" s="114"/>
      <c r="M37" s="116"/>
      <c r="N37" s="116"/>
      <c r="W37" s="734">
        <v>34</v>
      </c>
      <c r="X37" s="710" t="str">
        <f t="shared" si="1"/>
        <v/>
      </c>
    </row>
    <row r="38" spans="1:25">
      <c r="J38" s="114"/>
    </row>
    <row r="39" spans="1:25" ht="23.25" thickBot="1">
      <c r="A39" s="736" t="s">
        <v>2022</v>
      </c>
      <c r="B39" s="726" t="s">
        <v>1933</v>
      </c>
      <c r="C39" s="726" t="s">
        <v>2795</v>
      </c>
      <c r="D39" s="727" t="s">
        <v>1213</v>
      </c>
      <c r="E39" s="727" t="s">
        <v>1214</v>
      </c>
      <c r="F39" s="727" t="s">
        <v>767</v>
      </c>
      <c r="G39" s="726" t="s">
        <v>2139</v>
      </c>
      <c r="H39" s="726" t="s">
        <v>2138</v>
      </c>
      <c r="I39" s="726" t="s">
        <v>770</v>
      </c>
      <c r="J39" s="728" t="s">
        <v>769</v>
      </c>
      <c r="K39" s="726" t="s">
        <v>759</v>
      </c>
      <c r="L39" s="727" t="s">
        <v>1215</v>
      </c>
      <c r="M39" s="726" t="s">
        <v>264</v>
      </c>
      <c r="N39" s="726" t="s">
        <v>1216</v>
      </c>
      <c r="O39" s="726" t="s">
        <v>1286</v>
      </c>
      <c r="P39" s="726" t="s">
        <v>1045</v>
      </c>
      <c r="Q39" s="727" t="s">
        <v>1046</v>
      </c>
      <c r="R39" s="727" t="s">
        <v>1940</v>
      </c>
      <c r="S39" s="727" t="s">
        <v>665</v>
      </c>
      <c r="T39" s="726" t="s">
        <v>920</v>
      </c>
      <c r="U39" s="729" t="s">
        <v>265</v>
      </c>
      <c r="V39" s="740">
        <v>0</v>
      </c>
      <c r="W39" s="737"/>
      <c r="X39" s="755" t="s">
        <v>1688</v>
      </c>
    </row>
    <row r="40" spans="1:25">
      <c r="A40" s="691" t="s">
        <v>2160</v>
      </c>
      <c r="B40" s="692">
        <v>1950</v>
      </c>
      <c r="C40" s="692">
        <v>5</v>
      </c>
      <c r="D40" s="692"/>
      <c r="E40" s="692"/>
      <c r="F40" s="692"/>
      <c r="G40" s="693"/>
      <c r="H40" s="693"/>
      <c r="I40" s="693"/>
      <c r="J40" s="693"/>
      <c r="K40" s="693"/>
      <c r="L40" s="692"/>
      <c r="M40" s="693"/>
      <c r="N40" s="693"/>
      <c r="O40" s="693">
        <v>15</v>
      </c>
      <c r="P40" s="693"/>
      <c r="Q40" s="693"/>
      <c r="R40" s="692"/>
      <c r="S40" s="693" t="s">
        <v>1688</v>
      </c>
      <c r="T40" s="711" t="b">
        <v>1</v>
      </c>
      <c r="U40" s="887">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3"/>
      <c r="X40" s="708" t="str">
        <f>" "</f>
        <v xml:space="preserve"> </v>
      </c>
    </row>
    <row r="41" spans="1:25">
      <c r="A41" s="673" t="s">
        <v>2024</v>
      </c>
      <c r="B41" s="674">
        <v>2659</v>
      </c>
      <c r="C41" s="674">
        <v>1</v>
      </c>
      <c r="D41" s="674"/>
      <c r="E41" s="674"/>
      <c r="F41" s="674"/>
      <c r="G41" s="675"/>
      <c r="H41" s="675"/>
      <c r="I41" s="678"/>
      <c r="J41" s="674"/>
      <c r="K41" s="675"/>
      <c r="L41" s="674">
        <v>15</v>
      </c>
      <c r="M41" s="675"/>
      <c r="N41" s="675"/>
      <c r="O41" s="713"/>
      <c r="P41" s="678"/>
      <c r="Q41" s="678"/>
      <c r="R41" s="678"/>
      <c r="S41" s="674" t="s">
        <v>1688</v>
      </c>
      <c r="T41" s="711" t="b">
        <v>1</v>
      </c>
      <c r="U41" s="887">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4">
        <v>1</v>
      </c>
      <c r="X41" s="748" t="str">
        <f>IF(ISNA(INDEX($A$40:$A$45,MATCH(W41,V$40:V$45,0))), "", INDEX($A$40:$A$45,MATCH(W41,V$40:V$45,0)))</f>
        <v>Exceptional Stats (+6 All Stats)</v>
      </c>
    </row>
    <row r="42" spans="1:25">
      <c r="A42" s="673" t="s">
        <v>1267</v>
      </c>
      <c r="B42" s="674">
        <v>2661</v>
      </c>
      <c r="C42" s="674">
        <v>1</v>
      </c>
      <c r="D42" s="674">
        <v>6</v>
      </c>
      <c r="E42" s="674">
        <v>6</v>
      </c>
      <c r="F42" s="674"/>
      <c r="G42" s="675"/>
      <c r="H42" s="675"/>
      <c r="I42" s="674"/>
      <c r="J42" s="674"/>
      <c r="K42" s="675"/>
      <c r="L42" s="674">
        <v>6</v>
      </c>
      <c r="M42" s="675"/>
      <c r="N42" s="675"/>
      <c r="O42" s="674"/>
      <c r="P42" s="674"/>
      <c r="Q42" s="674"/>
      <c r="R42" s="674"/>
      <c r="S42" s="674" t="s">
        <v>1688</v>
      </c>
      <c r="T42" s="674" t="b">
        <v>0</v>
      </c>
      <c r="U42" s="887">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4">
        <v>2</v>
      </c>
      <c r="X42" s="748" t="str">
        <f t="shared" ref="X42:X46" si="3">IF(ISNA(INDEX($A$40:$A$45,MATCH(W42,V$40:V$45,0))), "", INDEX($A$40:$A$45,MATCH(W42,V$40:V$45,0)))</f>
        <v>Greater Stats (+4 All Stats)</v>
      </c>
    </row>
    <row r="43" spans="1:25">
      <c r="A43" s="673" t="s">
        <v>2023</v>
      </c>
      <c r="B43" s="674">
        <v>1891</v>
      </c>
      <c r="C43" s="674">
        <v>1</v>
      </c>
      <c r="D43" s="674">
        <v>4</v>
      </c>
      <c r="E43" s="674">
        <v>4</v>
      </c>
      <c r="F43" s="674"/>
      <c r="G43" s="675"/>
      <c r="H43" s="675"/>
      <c r="I43" s="678"/>
      <c r="J43" s="674"/>
      <c r="K43" s="675"/>
      <c r="L43" s="674">
        <v>4</v>
      </c>
      <c r="M43" s="675"/>
      <c r="N43" s="675"/>
      <c r="O43" s="713"/>
      <c r="P43" s="678"/>
      <c r="Q43" s="678"/>
      <c r="R43" s="678"/>
      <c r="S43" s="674" t="s">
        <v>1688</v>
      </c>
      <c r="T43" s="713" t="b">
        <v>0</v>
      </c>
      <c r="U43" s="887">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4">
        <v>3</v>
      </c>
      <c r="X43" s="748" t="str">
        <f t="shared" si="3"/>
        <v>Stats (+3 All Stats)</v>
      </c>
    </row>
    <row r="44" spans="1:25">
      <c r="A44" s="673" t="s">
        <v>2025</v>
      </c>
      <c r="B44" s="674">
        <v>2933</v>
      </c>
      <c r="C44" s="674">
        <v>1</v>
      </c>
      <c r="D44" s="674"/>
      <c r="E44" s="674"/>
      <c r="F44" s="674"/>
      <c r="G44" s="675"/>
      <c r="H44" s="675"/>
      <c r="I44" s="686"/>
      <c r="J44" s="686"/>
      <c r="K44" s="675"/>
      <c r="L44" s="674"/>
      <c r="M44" s="675"/>
      <c r="N44" s="675">
        <v>15</v>
      </c>
      <c r="O44" s="753"/>
      <c r="P44" s="686"/>
      <c r="Q44" s="686"/>
      <c r="R44" s="686"/>
      <c r="S44" s="674" t="s">
        <v>1688</v>
      </c>
      <c r="T44" s="743" t="b">
        <v>1</v>
      </c>
      <c r="U44" s="887">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4">
        <v>4</v>
      </c>
      <c r="X44" s="748" t="str">
        <f t="shared" si="3"/>
        <v/>
      </c>
    </row>
    <row r="45" spans="1:25">
      <c r="A45" s="673" t="s">
        <v>2811</v>
      </c>
      <c r="B45" s="674">
        <v>928</v>
      </c>
      <c r="C45" s="674">
        <v>1</v>
      </c>
      <c r="D45" s="674">
        <v>3</v>
      </c>
      <c r="E45" s="674">
        <v>3</v>
      </c>
      <c r="F45" s="674"/>
      <c r="G45" s="675"/>
      <c r="H45" s="675"/>
      <c r="I45" s="686"/>
      <c r="J45" s="686"/>
      <c r="K45" s="675"/>
      <c r="L45" s="674">
        <v>3</v>
      </c>
      <c r="M45" s="675"/>
      <c r="N45" s="675"/>
      <c r="O45" s="753"/>
      <c r="P45" s="686"/>
      <c r="Q45" s="686"/>
      <c r="R45" s="686"/>
      <c r="S45" s="674" t="s">
        <v>1688</v>
      </c>
      <c r="T45" s="743" t="b">
        <v>0</v>
      </c>
      <c r="U45" s="887">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4">
        <v>5</v>
      </c>
      <c r="X45" s="748" t="str">
        <f t="shared" si="3"/>
        <v/>
      </c>
    </row>
    <row r="46" spans="1:25">
      <c r="A46" s="673" t="s">
        <v>2206</v>
      </c>
      <c r="B46" s="674"/>
      <c r="C46" s="674"/>
      <c r="D46" s="678"/>
      <c r="E46" s="678"/>
      <c r="F46" s="678"/>
      <c r="G46" s="678"/>
      <c r="H46" s="678"/>
      <c r="I46" s="754"/>
      <c r="J46" s="678"/>
      <c r="K46" s="675"/>
      <c r="L46" s="678"/>
      <c r="M46" s="678"/>
      <c r="N46" s="713"/>
      <c r="O46" s="675"/>
      <c r="P46" s="678"/>
      <c r="Q46" s="678"/>
      <c r="R46" s="678"/>
      <c r="S46" s="674"/>
      <c r="T46" s="675"/>
      <c r="U46" s="707"/>
      <c r="V46" s="677"/>
      <c r="W46" s="734">
        <v>6</v>
      </c>
      <c r="X46" s="748"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757"/>
      <c r="V1" s="703"/>
      <c r="W1" s="758" t="s">
        <v>567</v>
      </c>
      <c r="X1" s="704" t="s">
        <v>568</v>
      </c>
      <c r="Y1" s="758"/>
      <c r="Z1" s="756" t="s">
        <v>265</v>
      </c>
      <c r="AA1" s="756"/>
      <c r="AB1" s="722">
        <v>0</v>
      </c>
      <c r="AC1" s="722"/>
      <c r="AD1" s="759"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2"/>
      <c r="V2" s="693"/>
      <c r="W2" s="695" t="s">
        <v>631</v>
      </c>
      <c r="X2" s="695">
        <v>115</v>
      </c>
      <c r="Y2" s="695"/>
      <c r="Z2" s="1349">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47"/>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3"/>
      <c r="AD2" s="709" t="s">
        <v>1688</v>
      </c>
      <c r="AE2" s="1388"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2"/>
      <c r="V3" s="693"/>
      <c r="W3" s="695" t="s">
        <v>191</v>
      </c>
      <c r="X3" s="695">
        <v>128</v>
      </c>
      <c r="Y3" s="695"/>
      <c r="Z3" s="1350">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47"/>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3"/>
      <c r="AD3" s="709" t="str">
        <f>" "</f>
        <v xml:space="preserve"> </v>
      </c>
      <c r="AE3" s="1388"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3"/>
      <c r="V4" s="675"/>
      <c r="W4" s="678" t="s">
        <v>191</v>
      </c>
      <c r="X4" s="678">
        <v>88</v>
      </c>
      <c r="Y4" s="678"/>
      <c r="Z4" s="1350">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48"/>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4">
        <v>1</v>
      </c>
      <c r="AD4" s="710" t="str">
        <f>IF(ISNA(INDEX($A$2:$A$28,MATCH(AC4,AB$2:AB$28,0))), "", INDEX($A$2:$A$28,MATCH(AC4,AB$2:AB$28,0)))</f>
        <v>Armwraps of Disdain</v>
      </c>
      <c r="AE4" s="1388"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3"/>
      <c r="V5" s="675"/>
      <c r="W5" s="678" t="s">
        <v>631</v>
      </c>
      <c r="X5" s="678">
        <v>85</v>
      </c>
      <c r="Y5" s="678"/>
      <c r="Z5" s="1350">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48"/>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4">
        <v>2</v>
      </c>
      <c r="AD5" s="710" t="str">
        <f t="shared" ref="AD5:AD30" si="1">IF(ISNA(INDEX($A$2:$A$28,MATCH(AC5,AB$2:AB$28,0))), "", INDEX($A$2:$A$28,MATCH(AC5,AB$2:AB$28,0)))</f>
        <v>Bonescythe Bracers</v>
      </c>
      <c r="AE5" s="1388"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3"/>
      <c r="V6" s="675"/>
      <c r="W6" s="678" t="s">
        <v>191</v>
      </c>
      <c r="X6" s="678">
        <v>115</v>
      </c>
      <c r="Y6" s="678"/>
      <c r="Z6" s="1350">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48"/>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4">
        <v>3</v>
      </c>
      <c r="AD6" s="710" t="str">
        <f t="shared" si="1"/>
        <v>Bracers of Finesse</v>
      </c>
      <c r="AE6" s="1388"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3"/>
      <c r="V7" s="675"/>
      <c r="W7" s="678" t="s">
        <v>191</v>
      </c>
      <c r="X7" s="678">
        <v>141</v>
      </c>
      <c r="Y7" s="678"/>
      <c r="Z7" s="1350">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48"/>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4">
        <v>4</v>
      </c>
      <c r="AD7" s="710" t="str">
        <f t="shared" si="1"/>
        <v>Bracers of Maliciousness</v>
      </c>
      <c r="AE7" s="1388"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3"/>
      <c r="V8" s="675"/>
      <c r="W8" s="678" t="s">
        <v>191</v>
      </c>
      <c r="X8" s="678">
        <v>113</v>
      </c>
      <c r="Y8" s="678"/>
      <c r="Z8" s="1350">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48"/>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4">
        <v>5</v>
      </c>
      <c r="AD8" s="710" t="str">
        <f t="shared" si="1"/>
        <v>General's Leather Bracers</v>
      </c>
      <c r="AE8" s="1388"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3"/>
      <c r="V9" s="675"/>
      <c r="W9" s="678" t="s">
        <v>191</v>
      </c>
      <c r="X9" s="678">
        <v>154</v>
      </c>
      <c r="Y9" s="678"/>
      <c r="Z9" s="1350">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48"/>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4">
        <v>6</v>
      </c>
      <c r="AD9" s="710" t="str">
        <f t="shared" si="1"/>
        <v>Marshal's Leather Bracers</v>
      </c>
      <c r="AE9" s="1388"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3"/>
      <c r="V10" s="675"/>
      <c r="W10" s="678" t="s">
        <v>191</v>
      </c>
      <c r="X10" s="678">
        <v>154</v>
      </c>
      <c r="Y10" s="678"/>
      <c r="Z10" s="1350">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48"/>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4">
        <v>7</v>
      </c>
      <c r="AD10" s="710" t="str">
        <f t="shared" si="1"/>
        <v>Nightfall Wristguards</v>
      </c>
      <c r="AE10" s="1388"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3"/>
      <c r="V11" s="675"/>
      <c r="W11" s="678" t="s">
        <v>191</v>
      </c>
      <c r="X11" s="678">
        <v>141</v>
      </c>
      <c r="Y11" s="678"/>
      <c r="Z11" s="1350">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48"/>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4">
        <v>8</v>
      </c>
      <c r="AD11" s="710" t="str">
        <f t="shared" si="1"/>
        <v>Nightstalker's Wristguards</v>
      </c>
      <c r="AE11" s="1388"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3"/>
      <c r="V12" s="675"/>
      <c r="W12" s="678" t="s">
        <v>191</v>
      </c>
      <c r="X12" s="678">
        <v>113</v>
      </c>
      <c r="Y12" s="678"/>
      <c r="Z12" s="1350">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48"/>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4">
        <v>9</v>
      </c>
      <c r="AD12" s="710" t="str">
        <f t="shared" si="1"/>
        <v>Primalstrike Bracers</v>
      </c>
      <c r="AE12" s="1388"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3"/>
      <c r="V13" s="675"/>
      <c r="W13" s="678" t="s">
        <v>191</v>
      </c>
      <c r="X13" s="678">
        <v>128</v>
      </c>
      <c r="Y13" s="678"/>
      <c r="Z13" s="1350">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48"/>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4">
        <v>10</v>
      </c>
      <c r="AD13" s="710" t="str">
        <f t="shared" si="1"/>
        <v>Ravager's Wrist-Wraps of the Bandit</v>
      </c>
      <c r="AE13" s="1388"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3"/>
      <c r="V14" s="675"/>
      <c r="W14" s="678" t="s">
        <v>191</v>
      </c>
      <c r="X14" s="678">
        <v>110</v>
      </c>
      <c r="Y14" s="678"/>
      <c r="Z14" s="1350">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48"/>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4">
        <v>11</v>
      </c>
      <c r="AD14" s="710" t="str">
        <f t="shared" si="1"/>
        <v>Shackles of Quagmirran</v>
      </c>
      <c r="AE14" s="1388"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3"/>
      <c r="V15" s="675"/>
      <c r="W15" s="678" t="s">
        <v>1355</v>
      </c>
      <c r="X15" s="678">
        <v>111</v>
      </c>
      <c r="Y15" s="678"/>
      <c r="Z15" s="1350">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48"/>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4">
        <v>12</v>
      </c>
      <c r="AD15" s="710" t="str">
        <f t="shared" si="1"/>
        <v>Spymistress's Wristguards</v>
      </c>
      <c r="AE15" s="1388"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3"/>
      <c r="V16" s="675"/>
      <c r="W16" s="678" t="s">
        <v>191</v>
      </c>
      <c r="X16" s="678">
        <v>115</v>
      </c>
      <c r="Y16" s="678"/>
      <c r="Z16" s="1350">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48"/>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4">
        <v>13</v>
      </c>
      <c r="AD16" s="710" t="str">
        <f t="shared" si="1"/>
        <v>Windrager's Coils</v>
      </c>
      <c r="AE16" s="1388"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3"/>
      <c r="V17" s="675"/>
      <c r="W17" s="678" t="s">
        <v>191</v>
      </c>
      <c r="X17" s="678">
        <v>115</v>
      </c>
      <c r="Y17" s="678"/>
      <c r="Z17" s="1350">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48"/>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4">
        <v>14</v>
      </c>
      <c r="AD17" s="710" t="str">
        <f t="shared" si="1"/>
        <v>(Unmodeled)</v>
      </c>
      <c r="AE17" s="1388"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3"/>
      <c r="V18" s="675"/>
      <c r="W18" s="678" t="s">
        <v>631</v>
      </c>
      <c r="X18" s="678">
        <v>115</v>
      </c>
      <c r="Y18" s="678"/>
      <c r="Z18" s="1350">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48"/>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4">
        <v>15</v>
      </c>
      <c r="AD18" s="710" t="str">
        <f t="shared" si="1"/>
        <v/>
      </c>
      <c r="AE18" s="1388" t="str">
        <f t="shared" si="0"/>
        <v>Shackles of Quagmirran</v>
      </c>
    </row>
    <row r="19" spans="1:31" s="47" customFormat="1">
      <c r="A19" s="687"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3"/>
      <c r="V19" s="675"/>
      <c r="W19" s="678" t="s">
        <v>191</v>
      </c>
      <c r="X19" s="678">
        <v>105</v>
      </c>
      <c r="Y19" s="678"/>
      <c r="Z19" s="1350">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48"/>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4">
        <v>16</v>
      </c>
      <c r="AD19" s="710" t="str">
        <f t="shared" si="1"/>
        <v/>
      </c>
      <c r="AE19" s="1388"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3"/>
      <c r="V20" s="675"/>
      <c r="W20" s="678" t="s">
        <v>191</v>
      </c>
      <c r="X20" s="678">
        <v>154</v>
      </c>
      <c r="Y20" s="678"/>
      <c r="Z20" s="1350">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48"/>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4">
        <v>17</v>
      </c>
      <c r="AD20" s="710" t="str">
        <f t="shared" si="1"/>
        <v/>
      </c>
      <c r="AE20" s="1388"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3"/>
      <c r="V21" s="675"/>
      <c r="W21" s="678" t="s">
        <v>631</v>
      </c>
      <c r="X21" s="678">
        <v>115</v>
      </c>
      <c r="Y21" s="678"/>
      <c r="Z21" s="1350">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48"/>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4">
        <v>18</v>
      </c>
      <c r="AD21" s="710" t="str">
        <f t="shared" si="1"/>
        <v/>
      </c>
      <c r="AE21" s="1388"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3"/>
      <c r="V22" s="675"/>
      <c r="W22" s="678" t="s">
        <v>191</v>
      </c>
      <c r="X22" s="678">
        <v>141</v>
      </c>
      <c r="Y22" s="678"/>
      <c r="Z22" s="1350">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48"/>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4">
        <v>19</v>
      </c>
      <c r="AD22" s="710" t="str">
        <f t="shared" si="1"/>
        <v/>
      </c>
      <c r="AE22" s="1388"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3"/>
      <c r="V23" s="675"/>
      <c r="W23" s="678" t="s">
        <v>191</v>
      </c>
      <c r="X23" s="678">
        <v>128</v>
      </c>
      <c r="Y23" s="678"/>
      <c r="Z23" s="1350">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48"/>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4">
        <v>20</v>
      </c>
      <c r="AD23" s="710" t="str">
        <f t="shared" si="1"/>
        <v/>
      </c>
      <c r="AE23" s="1388"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3"/>
      <c r="V24" s="675"/>
      <c r="W24" s="678" t="s">
        <v>191</v>
      </c>
      <c r="X24" s="678">
        <v>126</v>
      </c>
      <c r="Y24" s="678"/>
      <c r="Z24" s="1350">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48"/>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4">
        <v>21</v>
      </c>
      <c r="AD24" s="710" t="str">
        <f t="shared" si="1"/>
        <v/>
      </c>
      <c r="AE24" s="1388"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3"/>
      <c r="V25" s="675"/>
      <c r="W25" s="678" t="s">
        <v>191</v>
      </c>
      <c r="X25" s="678">
        <v>141</v>
      </c>
      <c r="Y25" s="678"/>
      <c r="Z25" s="1350">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48"/>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4">
        <v>22</v>
      </c>
      <c r="AD25" s="710" t="str">
        <f t="shared" si="1"/>
        <v/>
      </c>
      <c r="AE25" s="1388"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3"/>
      <c r="V26" s="675"/>
      <c r="W26" s="678" t="s">
        <v>191</v>
      </c>
      <c r="X26" s="678">
        <v>141</v>
      </c>
      <c r="Y26" s="678"/>
      <c r="Z26" s="1350">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48"/>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4">
        <v>23</v>
      </c>
      <c r="AD26" s="710" t="str">
        <f t="shared" si="1"/>
        <v/>
      </c>
      <c r="AE26" s="1388"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3"/>
      <c r="V27" s="675"/>
      <c r="W27" s="678" t="s">
        <v>631</v>
      </c>
      <c r="X27" s="678">
        <v>115</v>
      </c>
      <c r="Y27" s="678"/>
      <c r="Z27" s="1350">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48"/>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4">
        <v>24</v>
      </c>
      <c r="AD27" s="710" t="str">
        <f t="shared" si="1"/>
        <v/>
      </c>
      <c r="AE27" s="1388"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6">
        <f>'Gear &amp; Buffs'!$S$161</f>
        <v>0</v>
      </c>
      <c r="S28" s="114"/>
      <c r="T28" s="114"/>
      <c r="U28" s="683"/>
      <c r="V28" s="674"/>
      <c r="W28" s="678"/>
      <c r="X28" s="678"/>
      <c r="Y28" s="678"/>
      <c r="Z28" s="1350">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48"/>
      <c r="AB28" s="677">
        <f>MAX($AB$1:AB27)+1</f>
        <v>14</v>
      </c>
      <c r="AC28" s="734">
        <v>25</v>
      </c>
      <c r="AD28" s="710"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3"/>
      <c r="V29" s="674"/>
      <c r="W29" s="678"/>
      <c r="X29" s="678"/>
      <c r="Y29" s="678"/>
      <c r="Z29" s="674"/>
      <c r="AA29" s="707"/>
      <c r="AB29" s="677"/>
      <c r="AC29" s="734">
        <v>26</v>
      </c>
      <c r="AD29" s="710" t="str">
        <f t="shared" si="1"/>
        <v/>
      </c>
    </row>
    <row r="30" spans="1:31" s="208" customFormat="1">
      <c r="A30" s="695"/>
      <c r="B30" s="692"/>
      <c r="C30" s="692"/>
      <c r="D30" s="695"/>
      <c r="E30" s="695"/>
      <c r="F30" s="695"/>
      <c r="G30" s="695"/>
      <c r="H30" s="695"/>
      <c r="I30" s="695"/>
      <c r="J30" s="692"/>
      <c r="K30" s="711"/>
      <c r="L30" s="695"/>
      <c r="M30" s="695"/>
      <c r="N30" s="711"/>
      <c r="O30" s="711"/>
      <c r="P30" s="695"/>
      <c r="Q30" s="695"/>
      <c r="R30" s="692"/>
      <c r="S30" s="692"/>
      <c r="T30" s="711"/>
      <c r="U30" s="678"/>
      <c r="V30" s="713"/>
      <c r="W30" s="678"/>
      <c r="X30" s="678"/>
      <c r="Y30" s="678"/>
      <c r="Z30" s="674"/>
      <c r="AA30" s="674"/>
      <c r="AB30" s="680"/>
      <c r="AC30" s="734">
        <v>27</v>
      </c>
      <c r="AD30" s="710" t="str">
        <f t="shared" si="1"/>
        <v/>
      </c>
    </row>
    <row r="31" spans="1:31">
      <c r="A31" s="719"/>
      <c r="B31" s="723"/>
      <c r="C31" s="723"/>
      <c r="D31" s="719"/>
      <c r="E31" s="719"/>
      <c r="F31" s="719"/>
      <c r="G31" s="719"/>
      <c r="H31" s="719"/>
      <c r="I31" s="719"/>
      <c r="J31" s="723"/>
      <c r="K31" s="760"/>
      <c r="L31" s="719"/>
      <c r="M31" s="719"/>
      <c r="N31" s="760"/>
      <c r="O31" s="760"/>
      <c r="P31" s="719"/>
      <c r="Q31" s="719"/>
      <c r="R31" s="723"/>
      <c r="S31" s="723"/>
      <c r="T31" s="760"/>
      <c r="U31" s="719"/>
      <c r="V31" s="760"/>
      <c r="W31" s="719"/>
      <c r="X31" s="719"/>
      <c r="Y31" s="719"/>
      <c r="Z31" s="723"/>
      <c r="AA31" s="723"/>
      <c r="AB31" s="723"/>
      <c r="AC31" s="723"/>
      <c r="AD31" s="720"/>
    </row>
    <row r="32" spans="1:31" ht="23.25" thickBot="1">
      <c r="A32" s="736" t="s">
        <v>1306</v>
      </c>
      <c r="B32" s="726" t="s">
        <v>1933</v>
      </c>
      <c r="C32" s="726" t="s">
        <v>2795</v>
      </c>
      <c r="D32" s="727" t="s">
        <v>1213</v>
      </c>
      <c r="E32" s="727" t="s">
        <v>1214</v>
      </c>
      <c r="F32" s="727" t="s">
        <v>767</v>
      </c>
      <c r="G32" s="726" t="s">
        <v>2139</v>
      </c>
      <c r="H32" s="726" t="s">
        <v>2138</v>
      </c>
      <c r="I32" s="726" t="s">
        <v>770</v>
      </c>
      <c r="J32" s="728" t="s">
        <v>769</v>
      </c>
      <c r="K32" s="726" t="s">
        <v>759</v>
      </c>
      <c r="L32" s="727" t="s">
        <v>1215</v>
      </c>
      <c r="M32" s="726" t="s">
        <v>264</v>
      </c>
      <c r="N32" s="726" t="s">
        <v>1216</v>
      </c>
      <c r="O32" s="726" t="s">
        <v>1286</v>
      </c>
      <c r="P32" s="726" t="s">
        <v>1045</v>
      </c>
      <c r="Q32" s="727" t="s">
        <v>1046</v>
      </c>
      <c r="R32" s="727" t="s">
        <v>1940</v>
      </c>
      <c r="S32" s="727" t="s">
        <v>665</v>
      </c>
      <c r="T32" s="726"/>
      <c r="U32" s="761"/>
      <c r="V32" s="726"/>
      <c r="W32" s="761" t="s">
        <v>920</v>
      </c>
      <c r="X32" s="761"/>
      <c r="Y32" s="761"/>
      <c r="Z32" s="729" t="s">
        <v>265</v>
      </c>
      <c r="AA32" s="729"/>
      <c r="AB32" s="740">
        <v>0</v>
      </c>
      <c r="AC32" s="737"/>
      <c r="AD32" s="755" t="s">
        <v>1688</v>
      </c>
    </row>
    <row r="33" spans="1:30">
      <c r="A33" s="691" t="s">
        <v>1270</v>
      </c>
      <c r="B33" s="692">
        <v>1593</v>
      </c>
      <c r="C33" s="692">
        <v>1</v>
      </c>
      <c r="D33" s="692"/>
      <c r="E33" s="692"/>
      <c r="F33" s="692">
        <v>24</v>
      </c>
      <c r="G33" s="693"/>
      <c r="H33" s="693"/>
      <c r="I33" s="695"/>
      <c r="J33" s="692"/>
      <c r="K33" s="711"/>
      <c r="L33" s="692"/>
      <c r="M33" s="693"/>
      <c r="N33" s="711"/>
      <c r="O33" s="711"/>
      <c r="P33" s="695"/>
      <c r="Q33" s="695"/>
      <c r="R33" s="692"/>
      <c r="S33" s="692" t="s">
        <v>1688</v>
      </c>
      <c r="T33" s="711"/>
      <c r="U33" s="695"/>
      <c r="V33" s="711"/>
      <c r="W33" s="695" t="b">
        <v>0</v>
      </c>
      <c r="X33" s="695"/>
      <c r="Y33" s="695"/>
      <c r="Z33" s="1350">
        <f>($D33*dpsStr+$E33*dpsAgi+$G33*dpsCrit+$H33*dpsHit+$F33*dpsAP+$I33*dpsHaste+$J33*dpsArmor+$K33*dpsExp)-'Gear &amp; Buffs'!$AF$48</f>
        <v>0</v>
      </c>
      <c r="AA33" s="1351"/>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3"/>
      <c r="AD33" s="708" t="str">
        <f>" "</f>
        <v xml:space="preserve"> </v>
      </c>
    </row>
    <row r="34" spans="1:30">
      <c r="A34" s="673" t="s">
        <v>1307</v>
      </c>
      <c r="B34" s="674">
        <v>2649</v>
      </c>
      <c r="C34" s="674">
        <v>1</v>
      </c>
      <c r="D34" s="674"/>
      <c r="E34" s="674"/>
      <c r="F34" s="674"/>
      <c r="G34" s="675"/>
      <c r="H34" s="675"/>
      <c r="I34" s="678"/>
      <c r="J34" s="674"/>
      <c r="K34" s="713"/>
      <c r="L34" s="674">
        <v>12</v>
      </c>
      <c r="M34" s="678"/>
      <c r="N34" s="713"/>
      <c r="O34" s="713"/>
      <c r="P34" s="678"/>
      <c r="Q34" s="678"/>
      <c r="R34" s="674"/>
      <c r="S34" s="674" t="s">
        <v>1688</v>
      </c>
      <c r="T34" s="713"/>
      <c r="U34" s="678"/>
      <c r="V34" s="713"/>
      <c r="W34" s="678" t="b">
        <v>1</v>
      </c>
      <c r="X34" s="678"/>
      <c r="Y34" s="678"/>
      <c r="Z34" s="1350">
        <f>($D34*dpsStr+$E34*dpsAgi+$G34*dpsCrit+$H34*dpsHit+$F34*dpsAP+$I34*dpsHaste+$J34*dpsArmor+$K34*dpsExp)-'Gear &amp; Buffs'!$AF$48</f>
        <v>-8.5759206205239025</v>
      </c>
      <c r="AA34" s="717"/>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4">
        <v>1</v>
      </c>
      <c r="AD34" s="710" t="str">
        <f>IF(ISNA(INDEX($A$33:$A$37,MATCH(AC34,AB$33:AB$37,0))), "", INDEX($A$33:$A$37,MATCH(AC34,AB$33:AB$37,0)))</f>
        <v>Assault (+24 ap)</v>
      </c>
    </row>
    <row r="35" spans="1:30">
      <c r="A35" s="673" t="s">
        <v>2161</v>
      </c>
      <c r="B35" s="674">
        <v>2648</v>
      </c>
      <c r="C35" s="674">
        <v>1</v>
      </c>
      <c r="D35" s="674"/>
      <c r="E35" s="674"/>
      <c r="F35" s="674"/>
      <c r="G35" s="675"/>
      <c r="H35" s="675"/>
      <c r="I35" s="678"/>
      <c r="J35" s="674"/>
      <c r="K35" s="713"/>
      <c r="L35" s="674"/>
      <c r="M35" s="678"/>
      <c r="N35" s="713"/>
      <c r="O35" s="713">
        <v>12</v>
      </c>
      <c r="P35" s="678"/>
      <c r="Q35" s="678"/>
      <c r="R35" s="674"/>
      <c r="S35" s="674" t="s">
        <v>1688</v>
      </c>
      <c r="T35" s="713"/>
      <c r="U35" s="678"/>
      <c r="V35" s="713"/>
      <c r="W35" s="678" t="b">
        <v>1</v>
      </c>
      <c r="X35" s="678"/>
      <c r="Y35" s="678"/>
      <c r="Z35" s="1350">
        <f>($D35*dpsStr+$E35*dpsAgi+$G35*dpsCrit+$H35*dpsHit+$F35*dpsAP+$I35*dpsHaste+$J35*dpsArmor+$K35*dpsExp)-'Gear &amp; Buffs'!$AF$48</f>
        <v>-8.5759206205239025</v>
      </c>
      <c r="AA35" s="717"/>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4">
        <v>2</v>
      </c>
      <c r="AD35" s="710" t="str">
        <f t="shared" ref="AD35:AD38" si="2">IF(ISNA(INDEX($A$33:$A$37,MATCH(AC35,AB$33:AB$37,0))), "", INDEX($A$33:$A$37,MATCH(AC35,AB$33:AB$37,0)))</f>
        <v>Stats (+4 All Stats)</v>
      </c>
    </row>
    <row r="36" spans="1:30">
      <c r="A36" s="673" t="s">
        <v>2953</v>
      </c>
      <c r="B36" s="674">
        <v>1891</v>
      </c>
      <c r="C36" s="674">
        <v>1</v>
      </c>
      <c r="D36" s="674">
        <v>4</v>
      </c>
      <c r="E36" s="674">
        <v>4</v>
      </c>
      <c r="F36" s="674"/>
      <c r="G36" s="675"/>
      <c r="H36" s="675"/>
      <c r="I36" s="678"/>
      <c r="J36" s="674"/>
      <c r="K36" s="713"/>
      <c r="L36" s="674">
        <v>4</v>
      </c>
      <c r="M36" s="675"/>
      <c r="N36" s="713"/>
      <c r="O36" s="713"/>
      <c r="P36" s="678"/>
      <c r="Q36" s="678"/>
      <c r="R36" s="674"/>
      <c r="S36" s="674" t="s">
        <v>1688</v>
      </c>
      <c r="T36" s="713"/>
      <c r="U36" s="678"/>
      <c r="V36" s="713"/>
      <c r="W36" s="678" t="b">
        <v>0</v>
      </c>
      <c r="X36" s="678"/>
      <c r="Y36" s="678"/>
      <c r="Z36" s="1350">
        <f>($D36*dpsStr+$E36*dpsAgi+$G36*dpsCrit+$H36*dpsHit+$F36*dpsAP+$I36*dpsHaste+$J36*dpsArmor+$K36*dpsExp)-'Gear &amp; Buffs'!$AF$48</f>
        <v>-3.6948170294190277</v>
      </c>
      <c r="AA36" s="717"/>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4">
        <v>3</v>
      </c>
      <c r="AD36" s="710" t="str">
        <f t="shared" si="2"/>
        <v>Superior Strength (+9 Strength)</v>
      </c>
    </row>
    <row r="37" spans="1:30">
      <c r="A37" s="673" t="s">
        <v>2812</v>
      </c>
      <c r="B37" s="674">
        <v>1885</v>
      </c>
      <c r="C37" s="674">
        <v>1</v>
      </c>
      <c r="D37" s="674">
        <v>9</v>
      </c>
      <c r="E37" s="674"/>
      <c r="F37" s="674"/>
      <c r="G37" s="675"/>
      <c r="H37" s="675"/>
      <c r="I37" s="678"/>
      <c r="J37" s="674"/>
      <c r="K37" s="713"/>
      <c r="L37" s="674"/>
      <c r="M37" s="675"/>
      <c r="N37" s="713"/>
      <c r="O37" s="713"/>
      <c r="P37" s="678"/>
      <c r="Q37" s="678"/>
      <c r="R37" s="674"/>
      <c r="S37" s="674" t="s">
        <v>1688</v>
      </c>
      <c r="T37" s="713"/>
      <c r="U37" s="678"/>
      <c r="V37" s="713"/>
      <c r="W37" s="678" t="b">
        <v>0</v>
      </c>
      <c r="X37" s="678"/>
      <c r="Y37" s="678"/>
      <c r="Z37" s="1350">
        <f>($D37*dpsStr+$E37*dpsAgi+$G37*dpsCrit+$H37*dpsHit+$F37*dpsAP+$I37*dpsHaste+$J37*dpsArmor+$K37*dpsExp)-'Gear &amp; Buffs'!$AF$48</f>
        <v>-5.0383533645526768</v>
      </c>
      <c r="AA37" s="717"/>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4">
        <v>4</v>
      </c>
      <c r="AD37" s="710" t="str">
        <f t="shared" si="2"/>
        <v/>
      </c>
    </row>
    <row r="38" spans="1:30">
      <c r="A38" s="673" t="s">
        <v>2206</v>
      </c>
      <c r="B38" s="674"/>
      <c r="C38" s="674"/>
      <c r="D38" s="674"/>
      <c r="E38" s="674"/>
      <c r="F38" s="674"/>
      <c r="G38" s="675"/>
      <c r="H38" s="675"/>
      <c r="I38" s="678"/>
      <c r="J38" s="674"/>
      <c r="K38" s="713"/>
      <c r="L38" s="674"/>
      <c r="M38" s="675"/>
      <c r="N38" s="713"/>
      <c r="O38" s="713"/>
      <c r="P38" s="678"/>
      <c r="Q38" s="678"/>
      <c r="R38" s="674"/>
      <c r="S38" s="674"/>
      <c r="T38" s="713"/>
      <c r="U38" s="47"/>
      <c r="V38" s="713"/>
      <c r="W38" s="47"/>
      <c r="X38" s="47"/>
      <c r="Y38" s="47"/>
      <c r="Z38" s="674"/>
      <c r="AA38" s="707"/>
      <c r="AB38" s="677"/>
      <c r="AC38" s="734">
        <v>5</v>
      </c>
      <c r="AD38" s="710" t="str">
        <f t="shared" si="2"/>
        <v/>
      </c>
    </row>
    <row r="39" spans="1:30">
      <c r="B39" s="114"/>
      <c r="C39" s="114"/>
      <c r="I39" s="114"/>
      <c r="J39" s="114"/>
      <c r="K39" s="114"/>
      <c r="M39" s="116"/>
      <c r="N39" s="114"/>
      <c r="O39" s="114"/>
      <c r="P39" s="114"/>
      <c r="Q39" s="114"/>
      <c r="R39" s="114"/>
      <c r="T39" s="114"/>
      <c r="V39" s="114"/>
      <c r="AD39" s="674"/>
    </row>
    <row r="40" spans="1:30">
      <c r="A40" s="10"/>
      <c r="B40" s="114"/>
      <c r="C40" s="114"/>
      <c r="D40" s="114"/>
      <c r="E40" s="114"/>
      <c r="F40" s="114"/>
      <c r="G40" s="127"/>
      <c r="H40" s="114"/>
      <c r="I40" s="114"/>
      <c r="J40" s="114"/>
      <c r="K40" s="116"/>
      <c r="L40" s="114"/>
      <c r="M40" s="114"/>
      <c r="N40" s="116"/>
      <c r="O40" s="116"/>
      <c r="P40" s="114"/>
      <c r="Q40" s="114"/>
      <c r="R40" s="114"/>
      <c r="T40" s="116"/>
      <c r="V40" s="116"/>
      <c r="AD40" s="678"/>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1"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87">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77"/>
      <c r="U3" s="887">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77"/>
      <c r="U4" s="887">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IF(ISNA(INDEX($A$2:$A$36,MATCH(W4,V$2:V$36,0))), "", INDEX($A$2:$A$36,MATCH(W4,V$2:V$36,0)))</f>
        <v>Bonescythe Gauntlets</v>
      </c>
      <c r="Y4" s="1388"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77"/>
      <c r="U5" s="887">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8" si="1">IF(ISNA(INDEX($A$2:$A$36,MATCH(W5,V$2:V$36,0))), "", INDEX($A$2:$A$36,MATCH(W5,V$2:V$36,0)))</f>
        <v>Cobrascale Gloves</v>
      </c>
      <c r="Y5" s="1388"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77"/>
      <c r="U6" s="887">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Deft Handguards</v>
      </c>
      <c r="Y6" s="1388"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77"/>
      <c r="U7" s="887">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Fel Leather Gloves</v>
      </c>
      <c r="Y7" s="1388"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77"/>
      <c r="U8" s="887">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Flesh Handler's Gauntlets</v>
      </c>
      <c r="Y8" s="1388"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77"/>
      <c r="U9" s="887">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Gladiator's Leather Gloves</v>
      </c>
      <c r="Y9" s="1388"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77"/>
      <c r="U10" s="887">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Gloves of Dexterous Manipulation</v>
      </c>
      <c r="Y10" s="1388"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77"/>
      <c r="U11" s="887">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4">
        <v>8</v>
      </c>
      <c r="X11" s="710" t="str">
        <f t="shared" si="1"/>
        <v>Gloves of the Nether-Stalker</v>
      </c>
      <c r="Y11" s="1388"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77"/>
      <c r="U12" s="887">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Gloves of the Unbound</v>
      </c>
      <c r="Y12" s="1388"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3"/>
      <c r="U13" s="887">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Grips of the Deftness</v>
      </c>
      <c r="Y13" s="1388"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3"/>
      <c r="U14" s="887">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4">
        <v>11</v>
      </c>
      <c r="X14" s="710" t="str">
        <f t="shared" si="1"/>
        <v>Handgrips of Assassination</v>
      </c>
      <c r="Y14" s="1388"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3"/>
      <c r="U15" s="887">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Liar's Tongue Gloves</v>
      </c>
      <c r="Y15" s="1388"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77"/>
      <c r="U16" s="887">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Master Thief's Gloves</v>
      </c>
      <c r="Y16" s="1388"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3"/>
      <c r="U17" s="887">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Netherblade Gloves</v>
      </c>
      <c r="Y17" s="1388"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77"/>
      <c r="U18" s="887">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4">
        <v>15</v>
      </c>
      <c r="X18" s="710" t="str">
        <f t="shared" si="1"/>
        <v>Precise Gloves of Alacrity</v>
      </c>
      <c r="Y18" s="1388"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77"/>
      <c r="U19" s="887">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4">
        <v>16</v>
      </c>
      <c r="X19" s="710" t="str">
        <f t="shared" si="1"/>
        <v>Opportunist's Leather Gloves (A)</v>
      </c>
      <c r="Y19" s="1388"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77"/>
      <c r="U20" s="887">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Opportunist's Leather Gloves (H)</v>
      </c>
      <c r="Y20" s="1388"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77"/>
      <c r="U21" s="887">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4">
        <v>18</v>
      </c>
      <c r="X21" s="710" t="str">
        <f t="shared" si="1"/>
        <v>Predatory Gloves</v>
      </c>
      <c r="Y21" s="1388"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77"/>
      <c r="U22" s="887">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Rapscallion's Touch</v>
      </c>
      <c r="Y22" s="1388"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77"/>
      <c r="U23" s="887">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4">
        <v>20</v>
      </c>
      <c r="X23" s="710" t="str">
        <f t="shared" si="1"/>
        <v>Wastewalker Gloves</v>
      </c>
      <c r="Y23" s="1388"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77"/>
      <c r="U24" s="887">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4">
        <v>21</v>
      </c>
      <c r="X24" s="710" t="str">
        <f t="shared" si="1"/>
        <v>Windslayer Wraps</v>
      </c>
      <c r="Y24" s="1388"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77"/>
      <c r="U25" s="887">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(Unmodeled)</v>
      </c>
      <c r="Y25" s="1388"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77"/>
      <c r="U26" s="887">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4">
        <v>23</v>
      </c>
      <c r="X26" s="710" t="str">
        <f t="shared" si="1"/>
        <v/>
      </c>
      <c r="Y26" s="1388"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77"/>
      <c r="U27" s="887">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ref="X27" si="2">IF(ISNA(INDEX($A$2:$A$36,MATCH(W27,V$2:V$36,0))), "", INDEX($A$2:$A$36,MATCH(W27,V$2:V$36,0)))</f>
        <v/>
      </c>
      <c r="Y27" s="1388"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77"/>
      <c r="U28" s="887">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4">
        <v>25</v>
      </c>
      <c r="X28" s="710" t="str">
        <f t="shared" si="1"/>
        <v/>
      </c>
      <c r="Y28" s="1388"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77"/>
      <c r="U29" s="887">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4">
        <v>26</v>
      </c>
      <c r="X29" s="710" t="str">
        <f t="shared" si="1"/>
        <v/>
      </c>
      <c r="Y29" s="1388"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77"/>
      <c r="U30" s="887">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77"/>
      <c r="U31" s="887">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77"/>
      <c r="U32" s="887">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77"/>
      <c r="U33" s="887">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77"/>
      <c r="U34" s="887">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4">
        <v>31</v>
      </c>
      <c r="X34" s="710" t="str">
        <f t="shared" si="1"/>
        <v/>
      </c>
      <c r="Y34" s="1388"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77"/>
      <c r="U35" s="887">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4">
        <v>32</v>
      </c>
      <c r="X35" s="710" t="str">
        <f t="shared" si="1"/>
        <v/>
      </c>
      <c r="Y35" s="1388"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6">
        <f>'Gear &amp; Buffs'!$S$162</f>
        <v>0</v>
      </c>
      <c r="S36" s="114"/>
      <c r="T36" s="762"/>
      <c r="U36" s="887">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77">
        <f>MAX($V$1:V35)+1</f>
        <v>22</v>
      </c>
      <c r="W36" s="734">
        <v>33</v>
      </c>
      <c r="X36" s="710"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77"/>
      <c r="U37" s="707"/>
      <c r="V37" s="677"/>
      <c r="W37" s="734">
        <v>34</v>
      </c>
      <c r="X37" s="710" t="str">
        <f t="shared" si="1"/>
        <v/>
      </c>
      <c r="Y37" s="129"/>
    </row>
    <row r="38" spans="1:25">
      <c r="J38" s="114"/>
      <c r="W38" s="734">
        <v>35</v>
      </c>
      <c r="X38" s="710" t="str">
        <f t="shared" si="1"/>
        <v/>
      </c>
      <c r="Y38" s="129"/>
    </row>
    <row r="39" spans="1:25">
      <c r="J39" s="114"/>
      <c r="R39" s="114"/>
    </row>
    <row r="40" spans="1:25" ht="23.25" thickBot="1">
      <c r="A40" s="736" t="s">
        <v>18</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31" t="s">
        <v>1688</v>
      </c>
    </row>
    <row r="41" spans="1:25">
      <c r="A41" s="691" t="s">
        <v>21</v>
      </c>
      <c r="B41" s="693">
        <v>1594</v>
      </c>
      <c r="C41" s="693">
        <v>1</v>
      </c>
      <c r="D41" s="692"/>
      <c r="E41" s="692"/>
      <c r="F41" s="692">
        <v>26</v>
      </c>
      <c r="G41" s="693"/>
      <c r="H41" s="693"/>
      <c r="I41" s="693"/>
      <c r="J41" s="692"/>
      <c r="K41" s="693"/>
      <c r="L41" s="692"/>
      <c r="M41" s="693"/>
      <c r="N41" s="693"/>
      <c r="O41" s="693"/>
      <c r="P41" s="693"/>
      <c r="Q41" s="693"/>
      <c r="R41" s="693"/>
      <c r="S41" s="692" t="s">
        <v>1688</v>
      </c>
      <c r="T41" s="693" t="b">
        <v>0</v>
      </c>
      <c r="U41" s="887">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3"/>
      <c r="X41" s="733" t="str">
        <f>" "</f>
        <v xml:space="preserve"> </v>
      </c>
    </row>
    <row r="42" spans="1:25">
      <c r="A42" s="673" t="s">
        <v>19</v>
      </c>
      <c r="B42" s="675">
        <v>1887</v>
      </c>
      <c r="C42" s="675">
        <v>1</v>
      </c>
      <c r="D42" s="674"/>
      <c r="E42" s="674">
        <v>7</v>
      </c>
      <c r="F42" s="674"/>
      <c r="G42" s="675"/>
      <c r="H42" s="675"/>
      <c r="I42" s="675"/>
      <c r="J42" s="674"/>
      <c r="K42" s="675"/>
      <c r="L42" s="674"/>
      <c r="M42" s="675"/>
      <c r="N42" s="675"/>
      <c r="O42" s="675"/>
      <c r="P42" s="674"/>
      <c r="Q42" s="674"/>
      <c r="R42" s="674"/>
      <c r="S42" s="692" t="s">
        <v>1688</v>
      </c>
      <c r="T42" s="675" t="b">
        <v>0</v>
      </c>
      <c r="U42" s="887">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4">
        <v>1</v>
      </c>
      <c r="X42" s="748" t="str">
        <f>IF(ISNA(INDEX($A$41:$A$44,MATCH(W42,V$41:V$44,0))), "", INDEX($A$41:$A$44,MATCH(W42,V$41:V$44,0)))</f>
        <v>Assault (+26 ap)</v>
      </c>
    </row>
    <row r="43" spans="1:25">
      <c r="A43" s="673" t="s">
        <v>20</v>
      </c>
      <c r="B43" s="675">
        <v>931</v>
      </c>
      <c r="C43" s="675">
        <v>1</v>
      </c>
      <c r="D43" s="674"/>
      <c r="E43" s="674"/>
      <c r="F43" s="674"/>
      <c r="G43" s="675"/>
      <c r="H43" s="675"/>
      <c r="I43" s="675">
        <v>10</v>
      </c>
      <c r="J43" s="674"/>
      <c r="K43" s="675"/>
      <c r="L43" s="674"/>
      <c r="M43" s="675"/>
      <c r="N43" s="675"/>
      <c r="O43" s="675"/>
      <c r="P43" s="674"/>
      <c r="Q43" s="674"/>
      <c r="R43" s="674"/>
      <c r="S43" s="692" t="s">
        <v>1688</v>
      </c>
      <c r="T43" s="675" t="b">
        <v>0</v>
      </c>
      <c r="U43" s="887">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4">
        <v>2</v>
      </c>
      <c r="X43" s="748" t="str">
        <f>IF(ISNA(INDEX($A$41:$A$44,MATCH(W43,V$41:V$44,0))), "", INDEX($A$41:$A$44,MATCH(W43,V$41:V$44,0)))</f>
        <v>Greater Agility (+7 Agility)</v>
      </c>
    </row>
    <row r="44" spans="1:25">
      <c r="A44" s="673" t="s">
        <v>2076</v>
      </c>
      <c r="B44" s="675">
        <v>2564</v>
      </c>
      <c r="C44" s="675">
        <v>1</v>
      </c>
      <c r="D44" s="674"/>
      <c r="E44" s="674">
        <v>15</v>
      </c>
      <c r="F44" s="674"/>
      <c r="G44" s="675"/>
      <c r="H44" s="675"/>
      <c r="I44" s="675"/>
      <c r="J44" s="678"/>
      <c r="K44" s="675"/>
      <c r="L44" s="674"/>
      <c r="M44" s="675"/>
      <c r="N44" s="675"/>
      <c r="O44" s="675"/>
      <c r="P44" s="713"/>
      <c r="Q44" s="713"/>
      <c r="R44" s="713"/>
      <c r="S44" s="692" t="s">
        <v>1688</v>
      </c>
      <c r="T44" s="675" t="b">
        <v>0</v>
      </c>
      <c r="U44" s="887">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4">
        <v>3</v>
      </c>
      <c r="X44" s="748" t="str">
        <f>IF(ISNA(INDEX($A$41:$A$44,MATCH(W44,V$41:V$44,0))), "", INDEX($A$41:$A$44,MATCH(W44,V$41:V$44,0)))</f>
        <v>Minor Haste (+10 Haste)</v>
      </c>
    </row>
    <row r="45" spans="1:25">
      <c r="A45" s="673" t="s">
        <v>2206</v>
      </c>
      <c r="B45" s="678"/>
      <c r="C45" s="678"/>
      <c r="D45" s="678"/>
      <c r="E45" s="678"/>
      <c r="F45" s="678"/>
      <c r="G45" s="678"/>
      <c r="H45" s="678"/>
      <c r="I45" s="713"/>
      <c r="J45" s="678"/>
      <c r="K45" s="678"/>
      <c r="L45" s="678"/>
      <c r="M45" s="678"/>
      <c r="N45" s="678"/>
      <c r="O45" s="678"/>
      <c r="P45" s="681"/>
      <c r="Q45" s="681"/>
      <c r="R45" s="681"/>
      <c r="S45" s="678"/>
      <c r="T45" s="678"/>
      <c r="U45" s="764"/>
      <c r="V45" s="677"/>
      <c r="W45" s="734">
        <v>4</v>
      </c>
      <c r="X45" s="748"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2077</v>
      </c>
      <c r="Y1" s="47"/>
      <c r="Z1" s="47"/>
    </row>
    <row r="2" spans="1:26">
      <c r="A2" s="687"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87">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4"/>
      <c r="X2" s="710" t="s">
        <v>1688</v>
      </c>
      <c r="Y2" s="1389"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87">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9"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87">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4">
        <v>1</v>
      </c>
      <c r="X4" s="710" t="str">
        <f>IF(ISNA(INDEX($A$2:$A$37,MATCH(W4,V$2:V$37,0))), "", INDEX($A$2:$A$37,MATCH(W4,V$2:V$37,0)))</f>
        <v>Belt of Never-ending Agony</v>
      </c>
      <c r="Y4" s="1389"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87">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9" si="1">IF(ISNA(INDEX($A$2:$A$37,MATCH(W5,V$2:V$37,0))), "", INDEX($A$2:$A$37,MATCH(W5,V$2:V$37,0)))</f>
        <v>Belt of the Raven Lord</v>
      </c>
      <c r="Y5" s="1389"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87">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4">
        <v>3</v>
      </c>
      <c r="X6" s="710" t="str">
        <f t="shared" si="1"/>
        <v>Bonescythe Waistguard</v>
      </c>
      <c r="Y6" s="1389"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87">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Dunewind Sash</v>
      </c>
      <c r="Y7" s="1389"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87">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Epoch's Whispering Cinch</v>
      </c>
      <c r="Y8" s="1389"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87">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4">
        <v>6</v>
      </c>
      <c r="X9" s="710" t="str">
        <f t="shared" si="1"/>
        <v>Eva's Strap</v>
      </c>
      <c r="Y9" s="1389"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87">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General's Leather Belt</v>
      </c>
      <c r="Y10" s="1389"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87">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4">
        <v>8</v>
      </c>
      <c r="X11" s="710" t="str">
        <f t="shared" si="1"/>
        <v>Girdle of the Deathdealer</v>
      </c>
      <c r="Y11" s="1389"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87">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4">
        <v>9</v>
      </c>
      <c r="X12" s="710" t="str">
        <f t="shared" si="1"/>
        <v>Girdle of Treachery</v>
      </c>
      <c r="Y12" s="1389"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87">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4">
        <v>10</v>
      </c>
      <c r="X13" s="710" t="str">
        <f t="shared" si="1"/>
        <v>Gronn-Stitched Girdle</v>
      </c>
      <c r="Y13" s="1389"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87">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4">
        <v>11</v>
      </c>
      <c r="X14" s="710" t="str">
        <f t="shared" si="1"/>
        <v>Kirin'Var Scout's Belt</v>
      </c>
      <c r="Y14" s="1389"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87">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4">
        <v>12</v>
      </c>
      <c r="X15" s="710" t="str">
        <f t="shared" si="1"/>
        <v>Lurker's Grasp of the Bandit</v>
      </c>
      <c r="Y15" s="1389"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87">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Marshal's Leather Belt</v>
      </c>
      <c r="Y16" s="1389"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87">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Naaru Belt of Precision</v>
      </c>
      <c r="Y17" s="1389"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87">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4">
        <v>15</v>
      </c>
      <c r="X18" s="710" t="str">
        <f t="shared" ref="X18" si="2">IF(ISNA(INDEX($A$2:$A$37,MATCH(W18,V$2:V$37,0))), "", INDEX($A$2:$A$37,MATCH(W18,V$2:V$37,0)))</f>
        <v>Pilgrim's Belt</v>
      </c>
      <c r="Y18" s="1389"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87">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4">
        <v>16</v>
      </c>
      <c r="X19" s="710" t="str">
        <f t="shared" si="1"/>
        <v>Primalstrike Belt</v>
      </c>
      <c r="Y19" s="1389"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87">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4">
        <v>17</v>
      </c>
      <c r="X20" s="710" t="str">
        <f t="shared" ref="X20" si="3">IF(ISNA(INDEX($A$2:$A$37,MATCH(W20,V$2:V$37,0))), "", INDEX($A$2:$A$37,MATCH(W20,V$2:V$37,0)))</f>
        <v>Sash of Silent Blades</v>
      </c>
      <c r="Y20" s="1389"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87">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4">
        <v>18</v>
      </c>
      <c r="X21" s="710" t="str">
        <f t="shared" si="1"/>
        <v>Shifting Sash of Midnight</v>
      </c>
      <c r="Y21" s="1389"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87">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4">
        <v>19</v>
      </c>
      <c r="X22" s="710" t="str">
        <f t="shared" si="1"/>
        <v>Socrethar's Girdle</v>
      </c>
      <c r="Y22" s="1389"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87">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4">
        <v>20</v>
      </c>
      <c r="X23" s="710" t="str">
        <f t="shared" si="1"/>
        <v>Tree Warden's Belt</v>
      </c>
      <c r="Y23" s="1389"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87">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4">
        <v>21</v>
      </c>
      <c r="X24" s="710" t="str">
        <f t="shared" si="1"/>
        <v>(Unmodeled)</v>
      </c>
      <c r="Y24" s="1389"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87">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
      </c>
      <c r="Y25" s="1389"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87">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4">
        <v>23</v>
      </c>
      <c r="X26" s="710" t="str">
        <f t="shared" si="1"/>
        <v/>
      </c>
      <c r="Y26" s="1389"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87">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si="1"/>
        <v/>
      </c>
      <c r="Y27" s="1389"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87">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9"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87">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4">
        <v>26</v>
      </c>
      <c r="X29" s="710" t="str">
        <f t="shared" si="1"/>
        <v/>
      </c>
      <c r="Y29" s="1389"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87">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9"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87">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4">
        <v>28</v>
      </c>
      <c r="X31" s="710" t="str">
        <f t="shared" si="1"/>
        <v/>
      </c>
      <c r="Y31" s="1389"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87">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4">
        <v>29</v>
      </c>
      <c r="X32" s="710" t="str">
        <f t="shared" si="1"/>
        <v/>
      </c>
      <c r="Y32" s="1389"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87">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9"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87">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9"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87">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4">
        <v>32</v>
      </c>
      <c r="X35" s="710" t="str">
        <f t="shared" si="1"/>
        <v/>
      </c>
      <c r="Y35" s="1389"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87">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4">
        <v>33</v>
      </c>
      <c r="X36" s="710" t="str">
        <f t="shared" si="1"/>
        <v/>
      </c>
      <c r="Y36" s="1389"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6">
        <f>'Gear &amp; Buffs'!$S$163</f>
        <v>0</v>
      </c>
      <c r="S37" s="114"/>
      <c r="T37" s="114"/>
      <c r="U37" s="887">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4">
        <v>34</v>
      </c>
      <c r="X37" s="710"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6"/>
      <c r="V38" s="114"/>
      <c r="W38" s="734">
        <v>35</v>
      </c>
      <c r="X38" s="710"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4">
        <v>36</v>
      </c>
      <c r="X39" s="710"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1"/>
      <c r="L41" s="47"/>
      <c r="M41" s="47"/>
      <c r="N41" s="751"/>
      <c r="O41" s="751"/>
      <c r="P41" s="47"/>
      <c r="Q41" s="47"/>
      <c r="R41" s="47"/>
      <c r="S41" s="114"/>
      <c r="T41" s="751"/>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87">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4"/>
      <c r="X2" s="710" t="s">
        <v>1688</v>
      </c>
      <c r="Y2" s="1388"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87">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87">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IF(ISNA(INDEX($A$2:$A$36,MATCH(W4,V$2:V$36,0))), "", INDEX($A$2:$A$36,MATCH(W4,V$2:V$36,0)))</f>
        <v>Bonescythe Legplates</v>
      </c>
      <c r="Y4" s="1388"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87">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8" si="1">IF(ISNA(INDEX($A$2:$A$36,MATCH(W5,V$2:V$36,0))), "", INDEX($A$2:$A$36,MATCH(W5,V$2:V$36,0)))</f>
        <v>Clefthoof Hide Leggings</v>
      </c>
      <c r="Y5" s="1388"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87">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Eco-Dome Leggings</v>
      </c>
      <c r="Y6" s="1388"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87">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4">
        <v>4</v>
      </c>
      <c r="X7" s="710" t="str">
        <f t="shared" si="1"/>
        <v>Fel Leather Leggings</v>
      </c>
      <c r="Y7" s="1388"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87">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4">
        <v>5</v>
      </c>
      <c r="X8" s="710" t="str">
        <f t="shared" si="1"/>
        <v>Forestwalker Kilt</v>
      </c>
      <c r="Y8" s="1388"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87">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4">
        <v>6</v>
      </c>
      <c r="X9" s="710" t="str">
        <f t="shared" si="1"/>
        <v>Gladiator's Leather Legguards</v>
      </c>
      <c r="Y9" s="1388"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87">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4">
        <v>7</v>
      </c>
      <c r="X10" s="710" t="str">
        <f t="shared" si="1"/>
        <v>Leggings of Assassination</v>
      </c>
      <c r="Y10" s="1388"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87">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Leggings of the Unrepentant</v>
      </c>
      <c r="Y11" s="1388"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87">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Leggings of Unending Assault</v>
      </c>
      <c r="Y12" s="1388"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87">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Mennu's Scaled Leggings</v>
      </c>
      <c r="Y13" s="1388"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87">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4">
        <v>11</v>
      </c>
      <c r="X14" s="710" t="str">
        <f t="shared" si="1"/>
        <v>Midnight Legguards</v>
      </c>
      <c r="Y14" s="1388"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87">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4">
        <v>12</v>
      </c>
      <c r="X15" s="710" t="str">
        <f t="shared" si="1"/>
        <v>Netherblade Breeches</v>
      </c>
      <c r="Y15" s="1388"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87">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Nomad's Leggings</v>
      </c>
      <c r="Y16" s="1388"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87">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Oilcloth Breeches</v>
      </c>
      <c r="Y17" s="1388"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87">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Opportunist's Leather Legguards</v>
      </c>
      <c r="Y18" s="1388"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87">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4">
        <v>16</v>
      </c>
      <c r="X19" s="710" t="str">
        <f t="shared" si="1"/>
        <v>Retainer's Leggings</v>
      </c>
      <c r="Y19" s="1388"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87">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4">
        <v>17</v>
      </c>
      <c r="X20" s="710" t="str">
        <f t="shared" si="1"/>
        <v>Shattrath Leggings</v>
      </c>
      <c r="Y20" s="1388"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87">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4">
        <v>18</v>
      </c>
      <c r="X21" s="710" t="str">
        <f t="shared" si="1"/>
        <v>Skulker's Greaves</v>
      </c>
      <c r="Y21" s="1388"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87">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4">
        <v>19</v>
      </c>
      <c r="X22" s="710" t="str">
        <f t="shared" si="1"/>
        <v>Warpscale Leggings</v>
      </c>
      <c r="Y22" s="1388"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87">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4">
        <v>20</v>
      </c>
      <c r="X23" s="710" t="str">
        <f t="shared" ref="X23" si="2">IF(ISNA(INDEX($A$2:$A$36,MATCH(W23,V$2:V$36,0))), "", INDEX($A$2:$A$36,MATCH(W23,V$2:V$36,0)))</f>
        <v>Wastewalker Leggings</v>
      </c>
      <c r="Y23" s="1388"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87">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4">
        <v>21</v>
      </c>
      <c r="X24" s="710" t="str">
        <f t="shared" si="1"/>
        <v>X-52 Pilot's Leggings</v>
      </c>
      <c r="Y24" s="1388"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87">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(Unmodeled)</v>
      </c>
      <c r="Y25" s="1388"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87">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87">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si="1"/>
        <v/>
      </c>
      <c r="Y27" s="1388"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87">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4">
        <v>25</v>
      </c>
      <c r="X28" s="710" t="str">
        <f t="shared" si="1"/>
        <v/>
      </c>
      <c r="Y28" s="1388"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87">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87">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87">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87">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87">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4">
        <v>30</v>
      </c>
      <c r="X33" s="710" t="str">
        <f t="shared" si="1"/>
        <v/>
      </c>
      <c r="Y33" s="1388"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87">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4">
        <v>31</v>
      </c>
      <c r="X34" s="710" t="str">
        <f t="shared" si="1"/>
        <v/>
      </c>
      <c r="Y34" s="1388"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87">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4">
        <v>32</v>
      </c>
      <c r="X35" s="710" t="str">
        <f t="shared" si="1"/>
        <v/>
      </c>
      <c r="Y35" s="1388"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6">
        <f>'Gear &amp; Buffs'!$S$164</f>
        <v>0</v>
      </c>
      <c r="S36" s="114"/>
      <c r="T36" s="751"/>
      <c r="U36" s="887">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4">
        <v>33</v>
      </c>
      <c r="X36" s="710" t="str">
        <f t="shared" si="1"/>
        <v/>
      </c>
      <c r="Y36" s="129"/>
    </row>
    <row r="37" spans="1:25">
      <c r="A37" s="691" t="s">
        <v>2206</v>
      </c>
      <c r="B37" s="692"/>
      <c r="C37" s="692"/>
      <c r="D37" s="692"/>
      <c r="E37" s="692"/>
      <c r="F37" s="692"/>
      <c r="G37" s="693"/>
      <c r="H37" s="693"/>
      <c r="I37" s="692"/>
      <c r="J37" s="692"/>
      <c r="K37" s="692"/>
      <c r="L37" s="692"/>
      <c r="M37" s="693"/>
      <c r="N37" s="693"/>
      <c r="O37" s="692"/>
      <c r="P37" s="692"/>
      <c r="Q37" s="692" t="s">
        <v>1032</v>
      </c>
      <c r="R37" s="692"/>
      <c r="S37" s="692"/>
      <c r="T37" s="769"/>
      <c r="U37" s="766"/>
      <c r="V37" s="114"/>
      <c r="W37" s="734">
        <v>34</v>
      </c>
      <c r="X37" s="710" t="str">
        <f t="shared" si="1"/>
        <v/>
      </c>
      <c r="Y37" s="129"/>
    </row>
    <row r="38" spans="1:25">
      <c r="J38" s="114"/>
      <c r="R38" s="114"/>
      <c r="U38" s="114"/>
      <c r="V38" s="114"/>
      <c r="W38" s="734">
        <v>35</v>
      </c>
      <c r="X38" s="710"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6" t="s">
        <v>793</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55" t="s">
        <v>1688</v>
      </c>
    </row>
    <row r="41" spans="1:25">
      <c r="A41" s="691" t="s">
        <v>1340</v>
      </c>
      <c r="B41" s="693">
        <v>3011</v>
      </c>
      <c r="C41" s="693">
        <v>1</v>
      </c>
      <c r="D41" s="692"/>
      <c r="E41" s="692">
        <v>10</v>
      </c>
      <c r="F41" s="692"/>
      <c r="G41" s="693"/>
      <c r="H41" s="693"/>
      <c r="I41" s="693"/>
      <c r="J41" s="695"/>
      <c r="K41" s="693"/>
      <c r="L41" s="692">
        <v>30</v>
      </c>
      <c r="M41" s="693"/>
      <c r="N41" s="693"/>
      <c r="O41" s="693"/>
      <c r="P41" s="693"/>
      <c r="Q41" s="693"/>
      <c r="R41" s="693"/>
      <c r="S41" s="692" t="s">
        <v>1688</v>
      </c>
      <c r="T41" s="770" t="b">
        <v>0</v>
      </c>
      <c r="U41" s="887">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5"/>
      <c r="X41" s="708" t="str">
        <f>" "</f>
        <v xml:space="preserve"> </v>
      </c>
      <c r="Y41" s="129"/>
    </row>
    <row r="42" spans="1:25">
      <c r="A42" s="673" t="s">
        <v>1413</v>
      </c>
      <c r="B42" s="675">
        <v>3010</v>
      </c>
      <c r="C42" s="675">
        <v>1</v>
      </c>
      <c r="D42" s="674"/>
      <c r="E42" s="674"/>
      <c r="F42" s="674">
        <v>40</v>
      </c>
      <c r="G42" s="675">
        <v>10</v>
      </c>
      <c r="H42" s="675"/>
      <c r="I42" s="675"/>
      <c r="J42" s="678"/>
      <c r="K42" s="675"/>
      <c r="L42" s="674"/>
      <c r="M42" s="675"/>
      <c r="N42" s="675"/>
      <c r="O42" s="675"/>
      <c r="P42" s="678"/>
      <c r="Q42" s="678"/>
      <c r="R42" s="678"/>
      <c r="S42" s="692" t="s">
        <v>1688</v>
      </c>
      <c r="T42" s="770" t="b">
        <v>0</v>
      </c>
      <c r="U42" s="887">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47">
        <v>1</v>
      </c>
      <c r="X42" s="748" t="str">
        <f t="shared" ref="X42:X48" si="3">IF(ISNA(INDEX($A$41:$A$47,MATCH(W42,V$41:V$47,0))), "", INDEX($A$41:$A$47,MATCH(W42,V$41:V$47,0)))</f>
        <v>Clefthide Leg Armor (+10agi +30stam)</v>
      </c>
    </row>
    <row r="43" spans="1:25">
      <c r="A43" s="673" t="s">
        <v>794</v>
      </c>
      <c r="B43" s="675">
        <v>2585</v>
      </c>
      <c r="C43" s="675">
        <v>1</v>
      </c>
      <c r="D43" s="674"/>
      <c r="E43" s="674"/>
      <c r="F43" s="674">
        <v>28</v>
      </c>
      <c r="G43" s="675"/>
      <c r="H43" s="675"/>
      <c r="I43" s="675"/>
      <c r="J43" s="678"/>
      <c r="K43" s="675"/>
      <c r="L43" s="674"/>
      <c r="M43" s="675">
        <v>12</v>
      </c>
      <c r="N43" s="675"/>
      <c r="O43" s="675"/>
      <c r="P43" s="713"/>
      <c r="Q43" s="713"/>
      <c r="R43" s="713"/>
      <c r="S43" s="692" t="s">
        <v>1688</v>
      </c>
      <c r="T43" s="770" t="b">
        <v>0</v>
      </c>
      <c r="U43" s="887">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47">
        <v>2</v>
      </c>
      <c r="X43" s="748" t="str">
        <f t="shared" si="3"/>
        <v>Cobrahide Leg Armor (+10crit +40ap)</v>
      </c>
    </row>
    <row r="44" spans="1:25">
      <c r="A44" s="673" t="s">
        <v>1103</v>
      </c>
      <c r="B44" s="675">
        <v>2543</v>
      </c>
      <c r="C44" s="675">
        <v>1</v>
      </c>
      <c r="D44" s="674"/>
      <c r="E44" s="674"/>
      <c r="F44" s="674"/>
      <c r="G44" s="675"/>
      <c r="H44" s="675"/>
      <c r="I44" s="675">
        <v>10</v>
      </c>
      <c r="J44" s="678"/>
      <c r="K44" s="675"/>
      <c r="L44" s="674"/>
      <c r="M44" s="675"/>
      <c r="N44" s="675"/>
      <c r="O44" s="675"/>
      <c r="P44" s="678"/>
      <c r="Q44" s="678"/>
      <c r="R44" s="678"/>
      <c r="S44" s="692" t="s">
        <v>1688</v>
      </c>
      <c r="T44" s="770" t="b">
        <v>0</v>
      </c>
      <c r="U44" s="887">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47">
        <v>3</v>
      </c>
      <c r="X44" s="748" t="str">
        <f t="shared" si="3"/>
        <v>Death's Embrace (+28ap 12 dodge)</v>
      </c>
    </row>
    <row r="45" spans="1:25">
      <c r="A45" s="673" t="s">
        <v>1104</v>
      </c>
      <c r="B45" s="674">
        <v>1508</v>
      </c>
      <c r="C45" s="674">
        <v>1</v>
      </c>
      <c r="D45" s="674"/>
      <c r="E45" s="674">
        <v>8</v>
      </c>
      <c r="F45" s="674"/>
      <c r="G45" s="675"/>
      <c r="H45" s="675"/>
      <c r="I45" s="675"/>
      <c r="J45" s="675"/>
      <c r="K45" s="675"/>
      <c r="L45" s="674"/>
      <c r="M45" s="675"/>
      <c r="N45" s="675"/>
      <c r="O45" s="675"/>
      <c r="P45" s="675"/>
      <c r="Q45" s="675"/>
      <c r="R45" s="675"/>
      <c r="S45" s="692" t="s">
        <v>1688</v>
      </c>
      <c r="T45" s="770" t="b">
        <v>0</v>
      </c>
      <c r="U45" s="887">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47">
        <v>4</v>
      </c>
      <c r="X45" s="748" t="str">
        <f t="shared" si="3"/>
        <v>Libram of Rapidity (+10 Haste)</v>
      </c>
    </row>
    <row r="46" spans="1:25">
      <c r="A46" s="673" t="s">
        <v>1918</v>
      </c>
      <c r="B46" s="675">
        <v>3013</v>
      </c>
      <c r="C46" s="675">
        <v>1</v>
      </c>
      <c r="D46" s="674"/>
      <c r="E46" s="674">
        <v>12</v>
      </c>
      <c r="F46" s="674"/>
      <c r="G46" s="675"/>
      <c r="H46" s="675"/>
      <c r="I46" s="675"/>
      <c r="J46" s="678"/>
      <c r="K46" s="675"/>
      <c r="L46" s="674">
        <v>40</v>
      </c>
      <c r="M46" s="675"/>
      <c r="N46" s="675"/>
      <c r="O46" s="675"/>
      <c r="P46" s="771"/>
      <c r="Q46" s="771"/>
      <c r="R46" s="771"/>
      <c r="S46" s="692" t="s">
        <v>1688</v>
      </c>
      <c r="T46" s="770" t="b">
        <v>0</v>
      </c>
      <c r="U46" s="887">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47">
        <v>5</v>
      </c>
      <c r="X46" s="748" t="str">
        <f t="shared" si="3"/>
        <v>Libram of Voracity (+8 Agility)</v>
      </c>
    </row>
    <row r="47" spans="1:25">
      <c r="A47" s="673" t="s">
        <v>1341</v>
      </c>
      <c r="B47" s="675">
        <v>3012</v>
      </c>
      <c r="C47" s="675">
        <v>1</v>
      </c>
      <c r="D47" s="674"/>
      <c r="E47" s="674"/>
      <c r="F47" s="674">
        <v>50</v>
      </c>
      <c r="G47" s="675">
        <v>12</v>
      </c>
      <c r="H47" s="675"/>
      <c r="I47" s="675"/>
      <c r="J47" s="678"/>
      <c r="K47" s="675"/>
      <c r="L47" s="674"/>
      <c r="M47" s="675"/>
      <c r="N47" s="675"/>
      <c r="O47" s="675"/>
      <c r="P47" s="681"/>
      <c r="Q47" s="681"/>
      <c r="R47" s="681"/>
      <c r="S47" s="692" t="s">
        <v>1688</v>
      </c>
      <c r="T47" s="770" t="b">
        <v>0</v>
      </c>
      <c r="U47" s="887">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47">
        <v>6</v>
      </c>
      <c r="X47" s="748" t="str">
        <f t="shared" si="3"/>
        <v>Nethercleft Leg Armor (+12agi +40stam)</v>
      </c>
    </row>
    <row r="48" spans="1:25">
      <c r="A48" s="673" t="s">
        <v>2206</v>
      </c>
      <c r="B48" s="678"/>
      <c r="C48" s="678"/>
      <c r="D48" s="678"/>
      <c r="E48" s="678"/>
      <c r="F48" s="678"/>
      <c r="G48" s="678"/>
      <c r="H48" s="678"/>
      <c r="I48" s="713"/>
      <c r="J48" s="754"/>
      <c r="K48" s="678"/>
      <c r="L48" s="678"/>
      <c r="M48" s="678"/>
      <c r="N48" s="678"/>
      <c r="O48" s="678"/>
      <c r="P48" s="675"/>
      <c r="Q48" s="675"/>
      <c r="R48" s="675"/>
      <c r="S48" s="674"/>
      <c r="T48" s="767"/>
      <c r="U48" s="768"/>
      <c r="V48" s="114"/>
      <c r="W48" s="747">
        <v>7</v>
      </c>
      <c r="X48" s="748"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29" sqref="A29"/>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87">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4"/>
      <c r="X2" s="710" t="s">
        <v>1688</v>
      </c>
      <c r="Y2" s="1388"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87">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4"/>
      <c r="X3" s="710" t="str">
        <f>" "</f>
        <v xml:space="preserve"> </v>
      </c>
      <c r="Y3" s="1388"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87">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IF(ISNA(INDEX($A$2:$A$32,MATCH(W4,V$2:V$32,0))), "", INDEX($A$2:$A$32,MATCH(W4,V$2:V$32,0)))</f>
        <v>Bonescythe Sabatons</v>
      </c>
      <c r="Y4" s="1388"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87">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4">
        <v>2</v>
      </c>
      <c r="X5" s="710" t="str">
        <f t="shared" ref="X5:X34" si="1">IF(ISNA(INDEX($A$2:$A$32,MATCH(W5,V$2:V$32,0))), "", INDEX($A$2:$A$32,MATCH(W5,V$2:V$32,0)))</f>
        <v>Boots of the Shifting Sands</v>
      </c>
      <c r="Y5" s="1388"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87">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Boots of the Unjust</v>
      </c>
      <c r="Y6" s="1388"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87">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Edgewalker Longboots</v>
      </c>
      <c r="Y7" s="1388"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87">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Farahlite Studded Boots</v>
      </c>
      <c r="Y8" s="1388"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87">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Fel Leather Boots</v>
      </c>
      <c r="Y9" s="1388"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87">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Felboar Hide Shoes</v>
      </c>
      <c r="Y10" s="1388"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87">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4">
        <v>8</v>
      </c>
      <c r="X11" s="710" t="str">
        <f t="shared" si="1"/>
        <v>General's Leather Boots</v>
      </c>
      <c r="Y11" s="1388"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87">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Glider's Boots of the Bandit</v>
      </c>
      <c r="Y12" s="1388"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87">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4">
        <v>10</v>
      </c>
      <c r="X13" s="710" t="str">
        <f t="shared" si="1"/>
        <v>Marshal's Leather Boots</v>
      </c>
      <c r="Y13" s="1388"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87">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4">
        <v>11</v>
      </c>
      <c r="X14" s="710" t="str">
        <f t="shared" si="1"/>
        <v>Nimble-foot Treads</v>
      </c>
      <c r="Y14" s="1388"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87">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Rapscallion Boots</v>
      </c>
      <c r="Y15" s="1388"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87">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4">
        <v>13</v>
      </c>
      <c r="X16" s="710" t="str">
        <f t="shared" si="1"/>
        <v>Shadowstep Striders</v>
      </c>
      <c r="Y16" s="1388"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87">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Silent-Strider Kneeboots</v>
      </c>
      <c r="Y17" s="1388"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87">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4">
        <v>15</v>
      </c>
      <c r="X18" s="710" t="str">
        <f t="shared" si="1"/>
        <v>Spymistress's Boots</v>
      </c>
      <c r="Y18" s="1388"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87">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4">
        <v>16</v>
      </c>
      <c r="X19" s="710" t="str">
        <f t="shared" si="1"/>
        <v>The Master's Treads</v>
      </c>
      <c r="Y19" s="1388"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87">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4">
        <v>17</v>
      </c>
      <c r="X20" s="710" t="str">
        <f t="shared" si="1"/>
        <v>Wrangler's Boots</v>
      </c>
      <c r="Y20" s="1388"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87">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4">
        <v>18</v>
      </c>
      <c r="X21" s="710" t="str">
        <f t="shared" si="1"/>
        <v>(Unmodeled)</v>
      </c>
      <c r="Y21" s="1388"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87">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
      </c>
      <c r="Y22" s="1388"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87">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4">
        <v>20</v>
      </c>
      <c r="X23" s="710" t="str">
        <f t="shared" si="1"/>
        <v/>
      </c>
      <c r="Y23" s="1388"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87">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4">
        <v>21</v>
      </c>
      <c r="X24" s="710" t="str">
        <f t="shared" si="1"/>
        <v/>
      </c>
      <c r="Y24" s="1388"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87">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
      </c>
      <c r="Y25" s="1388"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87">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87">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4">
        <v>24</v>
      </c>
      <c r="X27" s="710" t="str">
        <f t="shared" si="1"/>
        <v/>
      </c>
      <c r="Y27" s="1388"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87">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87">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87">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87">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4">
        <v>28</v>
      </c>
      <c r="X31" s="710" t="str">
        <f t="shared" si="1"/>
        <v/>
      </c>
      <c r="Y31" s="1388"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6">
        <f>'Gear &amp; Buffs'!$S$165</f>
        <v>0</v>
      </c>
      <c r="S32" s="114"/>
      <c r="T32" s="751"/>
      <c r="U32" s="887">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4">
        <v>29</v>
      </c>
      <c r="X32" s="710"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6"/>
      <c r="V33" s="114"/>
      <c r="W33" s="734">
        <v>30</v>
      </c>
      <c r="X33" s="710" t="str">
        <f t="shared" si="1"/>
        <v/>
      </c>
    </row>
    <row r="34" spans="1:24">
      <c r="A34" s="47"/>
      <c r="B34" s="47"/>
      <c r="C34" s="114"/>
      <c r="D34" s="47"/>
      <c r="E34" s="47"/>
      <c r="F34" s="47"/>
      <c r="G34" s="47"/>
      <c r="H34" s="47"/>
      <c r="I34" s="47"/>
      <c r="J34" s="114"/>
      <c r="K34" s="751"/>
      <c r="L34" s="47"/>
      <c r="M34" s="47"/>
      <c r="N34" s="751"/>
      <c r="O34" s="751"/>
      <c r="P34" s="47"/>
      <c r="Q34" s="47"/>
      <c r="R34" s="114"/>
      <c r="S34" s="114"/>
      <c r="T34" s="751"/>
      <c r="U34" s="114"/>
      <c r="V34" s="114"/>
      <c r="W34" s="734">
        <v>31</v>
      </c>
      <c r="X34" s="710" t="str">
        <f t="shared" si="1"/>
        <v/>
      </c>
    </row>
    <row r="35" spans="1:24">
      <c r="A35" s="47"/>
      <c r="B35" s="47"/>
      <c r="C35" s="114"/>
      <c r="D35" s="47"/>
      <c r="E35" s="47"/>
      <c r="F35" s="47"/>
      <c r="G35" s="47"/>
      <c r="H35" s="47"/>
      <c r="I35" s="47"/>
      <c r="J35" s="114"/>
      <c r="K35" s="751"/>
      <c r="L35" s="47"/>
      <c r="M35" s="47"/>
      <c r="N35" s="751"/>
      <c r="O35" s="751"/>
      <c r="P35" s="47"/>
      <c r="Q35" s="47"/>
      <c r="R35" s="114"/>
      <c r="S35" s="114"/>
      <c r="T35" s="751"/>
      <c r="U35" s="114"/>
      <c r="V35" s="114"/>
      <c r="W35" s="114"/>
      <c r="X35" s="10"/>
    </row>
    <row r="36" spans="1:24" ht="23.25" thickBot="1">
      <c r="A36" s="736" t="s">
        <v>717</v>
      </c>
      <c r="B36" s="726" t="s">
        <v>1933</v>
      </c>
      <c r="C36" s="726" t="s">
        <v>2795</v>
      </c>
      <c r="D36" s="727" t="s">
        <v>1213</v>
      </c>
      <c r="E36" s="727" t="s">
        <v>1214</v>
      </c>
      <c r="F36" s="727" t="s">
        <v>767</v>
      </c>
      <c r="G36" s="726" t="s">
        <v>2139</v>
      </c>
      <c r="H36" s="726" t="s">
        <v>2138</v>
      </c>
      <c r="I36" s="726" t="s">
        <v>770</v>
      </c>
      <c r="J36" s="728" t="s">
        <v>769</v>
      </c>
      <c r="K36" s="726" t="s">
        <v>759</v>
      </c>
      <c r="L36" s="727" t="s">
        <v>1215</v>
      </c>
      <c r="M36" s="726" t="s">
        <v>264</v>
      </c>
      <c r="N36" s="726" t="s">
        <v>1216</v>
      </c>
      <c r="O36" s="726" t="s">
        <v>1286</v>
      </c>
      <c r="P36" s="726" t="s">
        <v>1045</v>
      </c>
      <c r="Q36" s="727" t="s">
        <v>1046</v>
      </c>
      <c r="R36" s="727" t="s">
        <v>1940</v>
      </c>
      <c r="S36" s="727" t="s">
        <v>665</v>
      </c>
      <c r="T36" s="726" t="s">
        <v>920</v>
      </c>
      <c r="U36" s="729" t="s">
        <v>265</v>
      </c>
      <c r="V36" s="740">
        <v>0</v>
      </c>
      <c r="W36" s="737"/>
      <c r="X36" s="731" t="s">
        <v>1688</v>
      </c>
    </row>
    <row r="37" spans="1:24">
      <c r="A37" s="691" t="s">
        <v>720</v>
      </c>
      <c r="B37" s="695">
        <v>2940</v>
      </c>
      <c r="C37" s="692">
        <v>1</v>
      </c>
      <c r="D37" s="692"/>
      <c r="E37" s="692"/>
      <c r="F37" s="692"/>
      <c r="G37" s="693"/>
      <c r="H37" s="693"/>
      <c r="I37" s="695"/>
      <c r="J37" s="692"/>
      <c r="K37" s="711"/>
      <c r="L37" s="692">
        <v>9</v>
      </c>
      <c r="M37" s="693"/>
      <c r="N37" s="711"/>
      <c r="O37" s="711"/>
      <c r="P37" s="695"/>
      <c r="Q37" s="695"/>
      <c r="R37" s="692"/>
      <c r="S37" s="692" t="s">
        <v>1688</v>
      </c>
      <c r="T37" s="711" t="b">
        <v>1</v>
      </c>
      <c r="U37" s="887">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5"/>
      <c r="X37" s="733" t="str">
        <f>" "</f>
        <v xml:space="preserve"> </v>
      </c>
    </row>
    <row r="38" spans="1:24">
      <c r="A38" s="679" t="s">
        <v>719</v>
      </c>
      <c r="B38" s="678">
        <v>2939</v>
      </c>
      <c r="C38" s="674">
        <v>1</v>
      </c>
      <c r="D38" s="674"/>
      <c r="E38" s="674">
        <v>6</v>
      </c>
      <c r="F38" s="674"/>
      <c r="G38" s="675"/>
      <c r="H38" s="675"/>
      <c r="I38" s="678"/>
      <c r="J38" s="674"/>
      <c r="K38" s="713"/>
      <c r="L38" s="674"/>
      <c r="M38" s="675"/>
      <c r="N38" s="713"/>
      <c r="O38" s="713"/>
      <c r="P38" s="678"/>
      <c r="Q38" s="678"/>
      <c r="R38" s="678"/>
      <c r="S38" s="692" t="s">
        <v>1688</v>
      </c>
      <c r="T38" s="713" t="b">
        <v>0</v>
      </c>
      <c r="U38" s="887">
        <f>($D38*dpsStr+$E38*dpsAgi+$G38*dpsCrit+$H38*dpsHit+$F38*dpsAP+$I38*dpsHaste+$J38*dpsArmor+$K38*dpsExp)-'Gear &amp; Buffs'!$AF$63</f>
        <v>-4.9632772160098284</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1</v>
      </c>
      <c r="W38" s="734">
        <v>1</v>
      </c>
      <c r="X38" s="748" t="str">
        <f t="shared" ref="X38:X44" si="2">IF(ISNA(INDEX($A$37:$A$43,MATCH(W38,V$37:V$43,0))), "", INDEX($A$37:$A$43,MATCH(W38,V$37:V$43,0)))</f>
        <v>Cat's Swiftness (+6 Agi + Run Speed)</v>
      </c>
    </row>
    <row r="39" spans="1:24">
      <c r="A39" s="673" t="s">
        <v>257</v>
      </c>
      <c r="B39" s="678">
        <v>2657</v>
      </c>
      <c r="C39" s="674">
        <v>1</v>
      </c>
      <c r="D39" s="674"/>
      <c r="E39" s="674">
        <v>12</v>
      </c>
      <c r="F39" s="674"/>
      <c r="G39" s="675"/>
      <c r="H39" s="675"/>
      <c r="I39" s="678"/>
      <c r="J39" s="674"/>
      <c r="K39" s="713"/>
      <c r="L39" s="674"/>
      <c r="M39" s="675"/>
      <c r="N39" s="713"/>
      <c r="O39" s="713"/>
      <c r="P39" s="678"/>
      <c r="Q39" s="678"/>
      <c r="R39" s="678"/>
      <c r="S39" s="692" t="s">
        <v>1688</v>
      </c>
      <c r="T39" s="713" t="b">
        <v>0</v>
      </c>
      <c r="U39" s="887">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2</v>
      </c>
      <c r="W39" s="734">
        <v>2</v>
      </c>
      <c r="X39" s="748" t="str">
        <f t="shared" si="2"/>
        <v>Dexterity (+12 Agility)</v>
      </c>
    </row>
    <row r="40" spans="1:24">
      <c r="A40" s="673" t="s">
        <v>1307</v>
      </c>
      <c r="B40" s="678">
        <v>2649</v>
      </c>
      <c r="C40" s="674">
        <v>1</v>
      </c>
      <c r="D40" s="674"/>
      <c r="E40" s="674"/>
      <c r="F40" s="674"/>
      <c r="G40" s="675"/>
      <c r="H40" s="675"/>
      <c r="I40" s="678"/>
      <c r="J40" s="674"/>
      <c r="K40" s="713"/>
      <c r="L40" s="674">
        <v>12</v>
      </c>
      <c r="M40" s="675"/>
      <c r="N40" s="713"/>
      <c r="O40" s="713"/>
      <c r="P40" s="678"/>
      <c r="Q40" s="678"/>
      <c r="R40" s="678"/>
      <c r="S40" s="692" t="s">
        <v>1688</v>
      </c>
      <c r="T40" s="713" t="b">
        <v>1</v>
      </c>
      <c r="U40" s="887">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4">
        <v>3</v>
      </c>
      <c r="X40" s="748" t="str">
        <f t="shared" si="2"/>
        <v>Greater Agility (+7 Agility)</v>
      </c>
    </row>
    <row r="41" spans="1:24">
      <c r="A41" s="673" t="s">
        <v>19</v>
      </c>
      <c r="B41" s="675">
        <v>1887</v>
      </c>
      <c r="C41" s="675">
        <v>1</v>
      </c>
      <c r="D41" s="674"/>
      <c r="E41" s="674">
        <v>7</v>
      </c>
      <c r="F41" s="674"/>
      <c r="G41" s="675"/>
      <c r="H41" s="675"/>
      <c r="I41" s="675"/>
      <c r="J41" s="674"/>
      <c r="K41" s="675"/>
      <c r="L41" s="674"/>
      <c r="M41" s="675"/>
      <c r="N41" s="675"/>
      <c r="O41" s="675"/>
      <c r="P41" s="674"/>
      <c r="Q41" s="674"/>
      <c r="R41" s="674"/>
      <c r="S41" s="692" t="s">
        <v>1688</v>
      </c>
      <c r="T41" s="675" t="b">
        <v>0</v>
      </c>
      <c r="U41" s="887">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3</v>
      </c>
      <c r="W41" s="734">
        <v>4</v>
      </c>
      <c r="X41" s="748" t="str">
        <f t="shared" si="2"/>
        <v>Surefooted (+10 Hit + 5% Snare Resist)</v>
      </c>
    </row>
    <row r="42" spans="1:24">
      <c r="A42" s="673" t="s">
        <v>718</v>
      </c>
      <c r="B42" s="678">
        <v>911</v>
      </c>
      <c r="C42" s="674">
        <v>1</v>
      </c>
      <c r="D42" s="674"/>
      <c r="E42" s="674"/>
      <c r="F42" s="674"/>
      <c r="G42" s="675"/>
      <c r="H42" s="675"/>
      <c r="I42" s="678"/>
      <c r="J42" s="674"/>
      <c r="K42" s="713"/>
      <c r="L42" s="674"/>
      <c r="M42" s="675"/>
      <c r="N42" s="713"/>
      <c r="O42" s="713"/>
      <c r="P42" s="678"/>
      <c r="Q42" s="678"/>
      <c r="R42" s="678"/>
      <c r="S42" s="692" t="s">
        <v>1688</v>
      </c>
      <c r="T42" s="713" t="b">
        <v>1</v>
      </c>
      <c r="U42" s="887">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4">
        <v>5</v>
      </c>
      <c r="X42" s="748" t="str">
        <f t="shared" si="2"/>
        <v/>
      </c>
    </row>
    <row r="43" spans="1:24">
      <c r="A43" s="673" t="s">
        <v>721</v>
      </c>
      <c r="B43" s="678">
        <v>2658</v>
      </c>
      <c r="C43" s="674">
        <v>1</v>
      </c>
      <c r="D43" s="674"/>
      <c r="E43" s="674"/>
      <c r="F43" s="674"/>
      <c r="G43" s="675"/>
      <c r="H43" s="675">
        <v>10</v>
      </c>
      <c r="I43" s="678"/>
      <c r="J43" s="674"/>
      <c r="K43" s="713"/>
      <c r="L43" s="674"/>
      <c r="M43" s="675"/>
      <c r="N43" s="713"/>
      <c r="O43" s="713"/>
      <c r="P43" s="678"/>
      <c r="Q43" s="678"/>
      <c r="R43" s="674"/>
      <c r="S43" s="692" t="s">
        <v>1688</v>
      </c>
      <c r="T43" s="713" t="b">
        <v>0</v>
      </c>
      <c r="U43" s="887">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4</v>
      </c>
      <c r="W43" s="734">
        <v>6</v>
      </c>
      <c r="X43" s="748" t="str">
        <f t="shared" si="2"/>
        <v/>
      </c>
    </row>
    <row r="44" spans="1:24">
      <c r="A44" s="673" t="s">
        <v>2206</v>
      </c>
      <c r="B44" s="678"/>
      <c r="C44" s="674"/>
      <c r="D44" s="674"/>
      <c r="E44" s="674"/>
      <c r="F44" s="674"/>
      <c r="G44" s="675"/>
      <c r="H44" s="675"/>
      <c r="I44" s="678"/>
      <c r="J44" s="674"/>
      <c r="K44" s="713"/>
      <c r="L44" s="674"/>
      <c r="M44" s="675"/>
      <c r="N44" s="713"/>
      <c r="O44" s="713"/>
      <c r="P44" s="678"/>
      <c r="Q44" s="678"/>
      <c r="R44" s="674"/>
      <c r="S44" s="674"/>
      <c r="T44" s="713"/>
      <c r="U44" s="707"/>
      <c r="V44" s="677"/>
      <c r="W44" s="734">
        <v>7</v>
      </c>
      <c r="X44" s="748"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713</v>
      </c>
      <c r="V1" s="729" t="s">
        <v>1028</v>
      </c>
      <c r="W1" s="740">
        <v>0</v>
      </c>
      <c r="X1" s="740"/>
      <c r="Y1" s="749"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87">
        <f>($D2*dpsStr+$E2*dpsAgi+$G2*dpsCrit+$H2*dpsHit+$F2*dpsAP+$I2*dpsHaste+$J2*dpsArmor+$K2*dpsExp)-'Gear &amp; Buffs'!$AF$66</f>
        <v>-106.10379109503901</v>
      </c>
      <c r="V2" s="887">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4"/>
      <c r="Y2" s="710" t="s">
        <v>1688</v>
      </c>
      <c r="Z2" s="1389"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87">
        <f>($D3*dpsStr+$E3*dpsAgi+$G3*dpsCrit+$H3*dpsHit+$F3*dpsAP+$I3*dpsHaste+$J3*dpsArmor+$K3*dpsExp)-'Gear &amp; Buffs'!$AF$66</f>
        <v>-102.27401134889578</v>
      </c>
      <c r="V3" s="887">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4"/>
      <c r="Y3" s="710" t="str">
        <f>" "</f>
        <v xml:space="preserve"> </v>
      </c>
      <c r="Z3" s="1389"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87">
        <f>($D4*dpsStr+$E4*dpsAgi+$G4*dpsCrit+$H4*dpsHit+$F4*dpsAP+$I4*dpsHaste+$J4*dpsArmor+$K4*dpsExp)-'Gear &amp; Buffs'!$AF$66</f>
        <v>-70.537226350472565</v>
      </c>
      <c r="V4" s="887">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4">
        <v>1</v>
      </c>
      <c r="Y4" s="710" t="str">
        <f t="shared" ref="Y4:Y58" si="1">IF(ISNA(INDEX($A$2:$A$57,MATCH(X4,W$2:W$57,0))), "", INDEX($A$2:$A$57,MATCH(X4,W$2:W$57,0)))</f>
        <v>A'dal's Command</v>
      </c>
      <c r="Z4" s="1389"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87">
        <f>($D5*dpsStr+$E5*dpsAgi+$G5*dpsCrit+$H5*dpsHit+$F5*dpsAP+$I5*dpsHaste+$J5*dpsArmor+$K5*dpsExp)-'Gear &amp; Buffs'!$AF$66</f>
        <v>-98.960800721329178</v>
      </c>
      <c r="V5" s="887">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4">
        <v>2</v>
      </c>
      <c r="Y5" s="710" t="str">
        <f t="shared" si="1"/>
        <v>Aggressor's Mark of the Sha'tar</v>
      </c>
      <c r="Z5" s="1389"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87">
        <f>($D6*dpsStr+$E6*dpsAgi+$G6*dpsCrit+$H6*dpsHit+$F6*dpsAP+$I6*dpsHaste+$J6*dpsArmor+$K6*dpsExp)-'Gear &amp; Buffs'!$AF$66</f>
        <v>-4.093560640949363</v>
      </c>
      <c r="V6" s="887">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4">
        <v>3</v>
      </c>
      <c r="Y6" s="710" t="str">
        <f t="shared" si="1"/>
        <v>Averinn's Ring of Slaying</v>
      </c>
      <c r="Z6" s="1389"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87">
        <f>($D7*dpsStr+$E7*dpsAgi+$G7*dpsCrit+$H7*dpsHit+$F7*dpsAP+$I7*dpsHaste+$J7*dpsArmor+$K7*dpsExp)-'Gear &amp; Buffs'!$AF$66</f>
        <v>-46.617441563810416</v>
      </c>
      <c r="V7" s="887">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4">
        <v>4</v>
      </c>
      <c r="Y7" s="710" t="str">
        <f t="shared" si="1"/>
        <v>Band of Accuria</v>
      </c>
      <c r="Z7" s="1389"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87">
        <f>($D8*dpsStr+$E8*dpsAgi+$G8*dpsCrit+$H8*dpsHit+$F8*dpsAP+$I8*dpsHaste+$J8*dpsArmor+$K8*dpsExp)-'Gear &amp; Buffs'!$AF$66</f>
        <v>6.6586837868703697</v>
      </c>
      <c r="V8" s="887">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4">
        <v>5</v>
      </c>
      <c r="Y8" s="710" t="str">
        <f t="shared" si="1"/>
        <v>Band of Anguish</v>
      </c>
      <c r="Z8" s="1389"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87">
        <f>($D9*dpsStr+$E9*dpsAgi+$G9*dpsCrit+$H9*dpsHit+$F9*dpsAP+$I9*dpsHaste+$J9*dpsArmor+$K9*dpsExp)-'Gear &amp; Buffs'!$AF$66</f>
        <v>-92.191201803062313</v>
      </c>
      <c r="V9" s="887">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4">
        <v>6</v>
      </c>
      <c r="Y9" s="710" t="str">
        <f t="shared" si="1"/>
        <v>Band of Reanimation</v>
      </c>
      <c r="Z9" s="1389"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87">
        <f>($D10*dpsStr+$E10*dpsAgi+$G10*dpsCrit+$H10*dpsHit+$F10*dpsAP+$I10*dpsHaste+$J10*dpsArmor+$K10*dpsExp)-'Gear &amp; Buffs'!$AF$66</f>
        <v>-88.392795909261395</v>
      </c>
      <c r="V10" s="887">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4">
        <v>7</v>
      </c>
      <c r="Y10" s="710" t="str">
        <f t="shared" si="1"/>
        <v>Band of the Exorcist</v>
      </c>
      <c r="Z10" s="1389"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87">
        <f>($D11*dpsStr+$E11*dpsAgi+$G11*dpsCrit+$H11*dpsHit+$F11*dpsAP+$I11*dpsHaste+$J11*dpsArmor+$K11*dpsExp)-'Gear &amp; Buffs'!$AF$66</f>
        <v>-85.309050067170801</v>
      </c>
      <c r="V11" s="887">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4">
        <v>8</v>
      </c>
      <c r="Y11" s="710" t="str">
        <f t="shared" si="1"/>
        <v>Band of Triumph</v>
      </c>
      <c r="Z11" s="1389"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87">
        <f>($D12*dpsStr+$E12*dpsAgi+$G12*dpsCrit+$H12*dpsHit+$F12*dpsAP+$I12*dpsHaste+$J12*dpsArmor+$K12*dpsExp)-'Gear &amp; Buffs'!$AF$66</f>
        <v>-96.102160514487878</v>
      </c>
      <c r="V12" s="887">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4">
        <v>9</v>
      </c>
      <c r="Y12" s="710" t="str">
        <f t="shared" si="1"/>
        <v>Band of Unnatural Forces</v>
      </c>
      <c r="Z12" s="1389"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87">
        <f>($D13*dpsStr+$E13*dpsAgi+$G13*dpsCrit+$H13*dpsHit+$F13*dpsAP+$I13*dpsHaste+$J13*dpsArmor+$K13*dpsExp)-'Gear &amp; Buffs'!$AF$66</f>
        <v>-65.420476531261784</v>
      </c>
      <c r="V13" s="887">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4">
        <v>10</v>
      </c>
      <c r="Y13" s="710" t="str">
        <f t="shared" si="1"/>
        <v>Bonescythe Ring</v>
      </c>
      <c r="Z13" s="1389"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87">
        <f>($D14*dpsStr+$E14*dpsAgi+$G14*dpsCrit+$H14*dpsHit+$F14*dpsAP+$I14*dpsHaste+$J14*dpsArmor+$K14*dpsExp)-'Gear &amp; Buffs'!$AF$66</f>
        <v>-77.391299250401289</v>
      </c>
      <c r="V14" s="887">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4">
        <v>11</v>
      </c>
      <c r="Y14" s="710" t="str">
        <f t="shared" si="1"/>
        <v>Eye of the Stalker</v>
      </c>
      <c r="Z14" s="1389"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87">
        <f>($D15*dpsStr+$E15*dpsAgi+$G15*dpsCrit+$H15*dpsHit+$F15*dpsAP+$I15*dpsHaste+$J15*dpsArmor+$K15*dpsExp)-'Gear &amp; Buffs'!$AF$66</f>
        <v>-52.115748390695899</v>
      </c>
      <c r="V15" s="887">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4">
        <v>12</v>
      </c>
      <c r="Y15" s="710" t="str">
        <f t="shared" si="1"/>
        <v>Kaylaan's Signet</v>
      </c>
      <c r="Z15" s="1389"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87">
        <f>($D16*dpsStr+$E16*dpsAgi+$G16*dpsCrit+$H16*dpsHit+$F16*dpsAP+$I16*dpsHaste+$J16*dpsArmor+$K16*dpsExp)-'Gear &amp; Buffs'!$AF$66</f>
        <v>8.375319581248732</v>
      </c>
      <c r="V16" s="887">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4">
        <v>13</v>
      </c>
      <c r="Y16" s="710" t="str">
        <f t="shared" si="1"/>
        <v>Leafbeard Ring</v>
      </c>
      <c r="Z16" s="1389"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87">
        <f>($D17*dpsStr+$E17*dpsAgi+$G17*dpsCrit+$H17*dpsHit+$F17*dpsAP+$I17*dpsHaste+$J17*dpsArmor+$K17*dpsExp)-'Gear &amp; Buffs'!$AF$66</f>
        <v>-108.33072311367778</v>
      </c>
      <c r="V17" s="887">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4">
        <v>14</v>
      </c>
      <c r="Y17" s="710" t="str">
        <f t="shared" ref="Y17" si="2">IF(ISNA(INDEX($A$2:$A$57,MATCH(X17,W$2:W$57,0))), "", INDEX($A$2:$A$57,MATCH(X17,W$2:W$57,0)))</f>
        <v>Longstrider's Loop</v>
      </c>
      <c r="Z17" s="1389"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87">
        <f>($D18*dpsStr+$E18*dpsAgi+$G18*dpsCrit+$H18*dpsHit+$F18*dpsAP+$I18*dpsHaste+$J18*dpsArmor+$K18*dpsExp)-'Gear &amp; Buffs'!$AF$66</f>
        <v>-47.05540053632194</v>
      </c>
      <c r="V18" s="887">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4">
        <v>15</v>
      </c>
      <c r="Y18" s="710" t="str">
        <f t="shared" si="1"/>
        <v>Mithril Band of the Unscarred</v>
      </c>
      <c r="Z18" s="1389"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87">
        <f>($D19*dpsStr+$E19*dpsAgi+$G19*dpsCrit+$H19*dpsHit+$F19*dpsAP+$I19*dpsHaste+$J19*dpsArmor+$K19*dpsExp)-'Gear &amp; Buffs'!$AF$66</f>
        <v>-50.832192202398801</v>
      </c>
      <c r="V19" s="887">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4">
        <v>16</v>
      </c>
      <c r="Y19" s="710" t="str">
        <f t="shared" si="1"/>
        <v>Naliko's Revenge</v>
      </c>
      <c r="Z19" s="1389"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87">
        <f>($D20*dpsStr+$E20*dpsAgi+$G20*dpsCrit+$H20*dpsHit+$F20*dpsAP+$I20*dpsHaste+$J20*dpsArmor+$K20*dpsExp)-'Gear &amp; Buffs'!$AF$66</f>
        <v>-109.29822327788497</v>
      </c>
      <c r="V20" s="887">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4">
        <v>17</v>
      </c>
      <c r="Y20" s="710" t="str">
        <f t="shared" si="1"/>
        <v>Overseer's Signet</v>
      </c>
      <c r="Z20" s="1389"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87">
        <f>($D21*dpsStr+$E21*dpsAgi+$G21*dpsCrit+$H21*dpsHit+$F21*dpsAP+$I21*dpsHaste+$J21*dpsArmor+$K21*dpsExp)-'Gear &amp; Buffs'!$AF$66</f>
        <v>0</v>
      </c>
      <c r="V21" s="887">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4">
        <v>18</v>
      </c>
      <c r="Y21" s="710" t="str">
        <f t="shared" si="1"/>
        <v>Pathfinder's Band</v>
      </c>
      <c r="Z21" s="1389"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87">
        <f>($D22*dpsStr+$E22*dpsAgi+$G22*dpsCrit+$H22*dpsHit+$F22*dpsAP+$I22*dpsHaste+$J22*dpsArmor+$K22*dpsExp)-'Gear &amp; Buffs'!$AF$66</f>
        <v>-84.700092644593497</v>
      </c>
      <c r="V22" s="887">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4">
        <v>19</v>
      </c>
      <c r="Y22" s="710" t="str">
        <f t="shared" si="1"/>
        <v>Ravenclaw Band</v>
      </c>
      <c r="Z22" s="1389"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87">
        <f>($D23*dpsStr+$E23*dpsAgi+$G23*dpsCrit+$H23*dpsHit+$F23*dpsAP+$I23*dpsHaste+$J23*dpsArmor+$K23*dpsExp)-'Gear &amp; Buffs'!$AF$66</f>
        <v>17.602275443017788</v>
      </c>
      <c r="V23" s="887">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4">
        <v>20</v>
      </c>
      <c r="Y23" s="710" t="str">
        <f t="shared" si="1"/>
        <v>Ring of Arathi Warlords</v>
      </c>
      <c r="Z23" s="1389"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87">
        <f>($D24*dpsStr+$E24*dpsAgi+$G24*dpsCrit+$H24*dpsHit+$F24*dpsAP+$I24*dpsHaste+$J24*dpsArmor+$K24*dpsExp)-'Gear &amp; Buffs'!$AF$66</f>
        <v>-44.963015825140474</v>
      </c>
      <c r="V24" s="887">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4">
        <v>21</v>
      </c>
      <c r="Y24" s="710" t="str">
        <f t="shared" si="1"/>
        <v>Ring of Reciprocity</v>
      </c>
      <c r="Z24" s="1389"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87">
        <f>($D25*dpsStr+$E25*dpsAgi+$G25*dpsCrit+$H25*dpsHit+$F25*dpsAP+$I25*dpsHaste+$J25*dpsArmor+$K25*dpsExp)-'Gear &amp; Buffs'!$AF$66</f>
        <v>-40.632551809153028</v>
      </c>
      <c r="V25" s="887">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4">
        <v>22</v>
      </c>
      <c r="Y25" s="710" t="str">
        <f t="shared" si="1"/>
        <v>Ring of the Recalcitrant</v>
      </c>
      <c r="Z25" s="1389"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87">
        <f>($D26*dpsStr+$E26*dpsAgi+$G26*dpsCrit+$H26*dpsHit+$F26*dpsAP+$I26*dpsHaste+$J26*dpsArmor+$K26*dpsExp)-'Gear &amp; Buffs'!$AF$66</f>
        <v>-45.017711954071274</v>
      </c>
      <c r="V26" s="887">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4">
        <v>23</v>
      </c>
      <c r="Y26" s="710" t="str">
        <f t="shared" si="1"/>
        <v>Ring of the Shadow Deeps</v>
      </c>
      <c r="Z26" s="1389"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87">
        <f>($D27*dpsStr+$E27*dpsAgi+$G27*dpsCrit+$H27*dpsHit+$F27*dpsAP+$I27*dpsHaste+$J27*dpsArmor+$K27*dpsExp)-'Gear &amp; Buffs'!$AF$66</f>
        <v>-105.43086736851365</v>
      </c>
      <c r="V27" s="887">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4">
        <v>24</v>
      </c>
      <c r="Y27" s="710" t="str">
        <f t="shared" si="1"/>
        <v>Ring of Umbral Doom</v>
      </c>
      <c r="Z27" s="1389"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87">
        <f>($D28*dpsStr+$E28*dpsAgi+$G28*dpsCrit+$H28*dpsHit+$F28*dpsAP+$I28*dpsHaste+$J28*dpsArmor+$K28*dpsExp)-'Gear &amp; Buffs'!$AF$66</f>
        <v>-106.24447045094848</v>
      </c>
      <c r="V28" s="887">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4">
        <v>25</v>
      </c>
      <c r="Y28" s="710" t="str">
        <f t="shared" si="1"/>
        <v>Shaffar's Band of Brutality</v>
      </c>
      <c r="Z28" s="1389"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87">
        <f>($D29*dpsStr+$E29*dpsAgi+$G29*dpsCrit+$H29*dpsHit+$F29*dpsAP+$I29*dpsHaste+$J29*dpsArmor+$K29*dpsExp)-'Gear &amp; Buffs'!$AF$66</f>
        <v>-53.002941406867421</v>
      </c>
      <c r="V29" s="887">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4">
        <v>26</v>
      </c>
      <c r="Y29" s="710" t="str">
        <f t="shared" si="1"/>
        <v>Shapeshifter's Signet</v>
      </c>
      <c r="Z29" s="1389"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87">
        <f>($D30*dpsStr+$E30*dpsAgi+$G30*dpsCrit+$H30*dpsHit+$F30*dpsAP+$I30*dpsHaste+$J30*dpsArmor+$K30*dpsExp)-'Gear &amp; Buffs'!$AF$66</f>
        <v>-97.908482216744915</v>
      </c>
      <c r="V30" s="887">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4">
        <v>27</v>
      </c>
      <c r="Y30" s="710" t="str">
        <f t="shared" si="1"/>
        <v>Signet Ring of the Bronze Dragonflight</v>
      </c>
      <c r="Z30" s="1389"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87">
        <f>($D31*dpsStr+$E31*dpsAgi+$G31*dpsCrit+$H31*dpsHit+$F31*dpsAP+$I31*dpsHaste+$J31*dpsArmor+$K31*dpsExp)-'Gear &amp; Buffs'!$AF$66</f>
        <v>-31.323457594187403</v>
      </c>
      <c r="V31" s="887">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4">
        <v>28</v>
      </c>
      <c r="Y31" s="710" t="str">
        <f t="shared" si="1"/>
        <v>Slayer's Mark of the Redemption</v>
      </c>
      <c r="Z31" s="1389"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87">
        <f>($D32*dpsStr+$E32*dpsAgi+$G32*dpsCrit+$H32*dpsHit+$F32*dpsAP+$I32*dpsHaste+$J32*dpsArmor+$K32*dpsExp)-'Gear &amp; Buffs'!$AF$66</f>
        <v>6.208409210566515</v>
      </c>
      <c r="V32" s="887">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4">
        <v>29</v>
      </c>
      <c r="Y32" s="710" t="str">
        <f t="shared" si="1"/>
        <v>Truestrike Ring</v>
      </c>
      <c r="Z32" s="1389"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87">
        <f>($D33*dpsStr+$E33*dpsAgi+$G33*dpsCrit+$H33*dpsHit+$F33*dpsAP+$I33*dpsHaste+$J33*dpsArmor+$K33*dpsExp)-'Gear &amp; Buffs'!$AF$66</f>
        <v>-98.527528613139111</v>
      </c>
      <c r="V33" s="887">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4">
        <v>30</v>
      </c>
      <c r="Y33" s="710" t="str">
        <f t="shared" si="1"/>
        <v>Violet Signet (Friendly)</v>
      </c>
      <c r="Z33" s="1389"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87">
        <f>($D34*dpsStr+$E34*dpsAgi+$G34*dpsCrit+$H34*dpsHit+$F34*dpsAP+$I34*dpsHaste+$J34*dpsArmor+$K34*dpsExp)-'Gear &amp; Buffs'!$AF$66</f>
        <v>12.809184801855054</v>
      </c>
      <c r="V34" s="887">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4">
        <v>31</v>
      </c>
      <c r="Y34" s="710" t="str">
        <f t="shared" si="1"/>
        <v>Violet Signet (Honored)</v>
      </c>
      <c r="Z34" s="1389"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87">
        <f>($D35*dpsStr+$E35*dpsAgi+$G35*dpsCrit+$H35*dpsHit+$F35*dpsAP+$I35*dpsHaste+$J35*dpsArmor+$K35*dpsExp)-'Gear &amp; Buffs'!$AF$66</f>
        <v>12.432183203018667</v>
      </c>
      <c r="V35" s="887">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4">
        <v>32</v>
      </c>
      <c r="Y35" s="710" t="str">
        <f t="shared" si="1"/>
        <v>Violet Signet (Revered)</v>
      </c>
      <c r="Z35" s="1389"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87">
        <f>($D36*dpsStr+$E36*dpsAgi+$G36*dpsCrit+$H36*dpsHit+$F36*dpsAP+$I36*dpsHaste+$J36*dpsArmor+$K36*dpsExp)-'Gear &amp; Buffs'!$AF$66</f>
        <v>-12.302961414587116</v>
      </c>
      <c r="V36" s="887">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4">
        <v>33</v>
      </c>
      <c r="Y36" s="710" t="str">
        <f t="shared" si="1"/>
        <v>Violet Signet of the Master Assassin</v>
      </c>
      <c r="Z36" s="1389"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87">
        <f>($D37*dpsStr+$E37*dpsAgi+$G37*dpsCrit+$H37*dpsHit+$F37*dpsAP+$I37*dpsHaste+$J37*dpsArmor+$K37*dpsExp)-'Gear &amp; Buffs'!$AF$66</f>
        <v>-30.891759866420216</v>
      </c>
      <c r="V37" s="887">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4">
        <v>34</v>
      </c>
      <c r="Y37" s="710" t="str">
        <f t="shared" si="1"/>
        <v>(Unmodeled)</v>
      </c>
      <c r="Z37" s="1389"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87">
        <f>($D38*dpsStr+$E38*dpsAgi+$G38*dpsCrit+$H38*dpsHit+$F38*dpsAP+$I38*dpsHaste+$J38*dpsArmor+$K38*dpsExp)-'Gear &amp; Buffs'!$AF$66</f>
        <v>-91.589094568976634</v>
      </c>
      <c r="V38" s="887">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4">
        <v>35</v>
      </c>
      <c r="Y38" s="710" t="str">
        <f t="shared" si="1"/>
        <v>(Unmodeled 2)</v>
      </c>
      <c r="Z38" s="1389"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87">
        <f>($D39*dpsStr+$E39*dpsAgi+$G39*dpsCrit+$H39*dpsHit+$F39*dpsAP+$I39*dpsHaste+$J39*dpsArmor+$K39*dpsExp)-'Gear &amp; Buffs'!$AF$66</f>
        <v>-35.609972720318638</v>
      </c>
      <c r="V39" s="887">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4">
        <v>36</v>
      </c>
      <c r="Y39" s="710" t="str">
        <f t="shared" si="1"/>
        <v/>
      </c>
      <c r="Z39" s="1389"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87">
        <f>($D40*dpsStr+$E40*dpsAgi+$G40*dpsCrit+$H40*dpsHit+$F40*dpsAP+$I40*dpsHaste+$J40*dpsArmor+$K40*dpsExp)-'Gear &amp; Buffs'!$AF$66</f>
        <v>-102.72889768479854</v>
      </c>
      <c r="V40" s="887">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4">
        <v>37</v>
      </c>
      <c r="Y40" s="710" t="str">
        <f t="shared" si="1"/>
        <v/>
      </c>
      <c r="Z40" s="1389"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87">
        <f>($D41*dpsStr+$E41*dpsAgi+$G41*dpsCrit+$H41*dpsHit+$F41*dpsAP+$I41*dpsHaste+$J41*dpsArmor+$K41*dpsExp)-'Gear &amp; Buffs'!$AF$66</f>
        <v>2.7217001906174119</v>
      </c>
      <c r="V41" s="887">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4">
        <v>38</v>
      </c>
      <c r="Y41" s="710" t="str">
        <f t="shared" si="1"/>
        <v/>
      </c>
      <c r="Z41" s="1389"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87">
        <f>($D42*dpsStr+$E42*dpsAgi+$G42*dpsCrit+$H42*dpsHit+$F42*dpsAP+$I42*dpsHaste+$J42*dpsArmor+$K42*dpsExp)-'Gear &amp; Buffs'!$AF$66</f>
        <v>-86.4855001692315</v>
      </c>
      <c r="V42" s="887">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4">
        <v>39</v>
      </c>
      <c r="Y42" s="710" t="str">
        <f t="shared" si="1"/>
        <v/>
      </c>
      <c r="Z42" s="1389"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87">
        <f>($D43*dpsStr+$E43*dpsAgi+$G43*dpsCrit+$H43*dpsHit+$F43*dpsAP+$I43*dpsHaste+$J43*dpsArmor+$K43*dpsExp)-'Gear &amp; Buffs'!$AF$66</f>
        <v>-71.364439219807537</v>
      </c>
      <c r="V43" s="887">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4">
        <v>40</v>
      </c>
      <c r="Y43" s="710" t="str">
        <f t="shared" si="1"/>
        <v/>
      </c>
      <c r="Z43" s="1389"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87">
        <f>($D44*dpsStr+$E44*dpsAgi+$G44*dpsCrit+$H44*dpsHit+$F44*dpsAP+$I44*dpsHaste+$J44*dpsArmor+$K44*dpsExp)-'Gear &amp; Buffs'!$AF$66</f>
        <v>-51.771957889369787</v>
      </c>
      <c r="V44" s="887">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4">
        <v>41</v>
      </c>
      <c r="Y44" s="710" t="str">
        <f t="shared" si="1"/>
        <v/>
      </c>
      <c r="Z44" s="1389"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87">
        <f>($D45*dpsStr+$E45*dpsAgi+$G45*dpsCrit+$H45*dpsHit+$F45*dpsAP+$I45*dpsHaste+$J45*dpsArmor+$K45*dpsExp)-'Gear &amp; Buffs'!$AF$66</f>
        <v>-90.810586775329739</v>
      </c>
      <c r="V45" s="887">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4">
        <v>42</v>
      </c>
      <c r="Y45" s="710" t="str">
        <f t="shared" si="1"/>
        <v/>
      </c>
      <c r="Z45" s="1389"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87">
        <f>($D46*dpsStr+$E46*dpsAgi+$G46*dpsCrit+$H46*dpsHit+$F46*dpsAP+$I46*dpsHaste+$J46*dpsArmor+$K46*dpsExp)-'Gear &amp; Buffs'!$AF$66</f>
        <v>-44.963015825140474</v>
      </c>
      <c r="V46" s="887">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4">
        <v>43</v>
      </c>
      <c r="Y46" s="710" t="str">
        <f t="shared" si="1"/>
        <v/>
      </c>
      <c r="Z46" s="1389"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87">
        <f>($D47*dpsStr+$E47*dpsAgi+$G47*dpsCrit+$H47*dpsHit+$F47*dpsAP+$I47*dpsHaste+$J47*dpsArmor+$K47*dpsExp)-'Gear &amp; Buffs'!$AF$66</f>
        <v>74.833184659469225</v>
      </c>
      <c r="V47" s="887">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4">
        <v>44</v>
      </c>
      <c r="Y47" s="710" t="str">
        <f t="shared" si="1"/>
        <v/>
      </c>
      <c r="Z47" s="1389"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87">
        <f>($D48*dpsStr+$E48*dpsAgi+$G48*dpsCrit+$H48*dpsHit+$F48*dpsAP+$I48*dpsHaste+$J48*dpsArmor+$K48*dpsExp)-'Gear &amp; Buffs'!$AF$66</f>
        <v>-99.073353538953825</v>
      </c>
      <c r="V48" s="887">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4">
        <v>45</v>
      </c>
      <c r="Y48" s="710" t="str">
        <f t="shared" si="1"/>
        <v/>
      </c>
      <c r="Z48" s="1389"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87">
        <f>($D49*dpsStr+$E49*dpsAgi+$G49*dpsCrit+$H49*dpsHit+$F49*dpsAP+$I49*dpsHaste+$J49*dpsArmor+$K49*dpsExp)-'Gear &amp; Buffs'!$AF$66</f>
        <v>-96.013866640025299</v>
      </c>
      <c r="V49" s="887">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4">
        <v>46</v>
      </c>
      <c r="Y49" s="710" t="str">
        <f t="shared" si="1"/>
        <v/>
      </c>
      <c r="Z49" s="1389"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87">
        <f>($D50*dpsStr+$E50*dpsAgi+$G50*dpsCrit+$H50*dpsHit+$F50*dpsAP+$I50*dpsHaste+$J50*dpsArmor+$K50*dpsExp)-'Gear &amp; Buffs'!$AF$66</f>
        <v>-100.64264502206925</v>
      </c>
      <c r="V50" s="887">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4">
        <v>47</v>
      </c>
      <c r="Y50" s="710" t="str">
        <f t="shared" si="1"/>
        <v/>
      </c>
      <c r="Z50" s="1389"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87">
        <f>($D51*dpsStr+$E51*dpsAgi+$G51*dpsCrit+$H51*dpsHit+$F51*dpsAP+$I51*dpsHaste+$J51*dpsArmor+$K51*dpsExp)-'Gear &amp; Buffs'!$AF$66</f>
        <v>-90.301918073472734</v>
      </c>
      <c r="V51" s="887">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4">
        <v>48</v>
      </c>
      <c r="Y51" s="710" t="str">
        <f t="shared" si="1"/>
        <v/>
      </c>
      <c r="Z51" s="1389"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87">
        <f>($D52*dpsStr+$E52*dpsAgi+$G52*dpsCrit+$H52*dpsHit+$F52*dpsAP+$I52*dpsHaste+$J52*dpsArmor+$K52*dpsExp)-'Gear &amp; Buffs'!$AF$66</f>
        <v>-15.829597334989103</v>
      </c>
      <c r="V52" s="887">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4">
        <v>49</v>
      </c>
      <c r="Y52" s="710" t="str">
        <f t="shared" si="1"/>
        <v/>
      </c>
      <c r="Z52" s="1389"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87">
        <f>($D53*dpsStr+$E53*dpsAgi+$G53*dpsCrit+$H53*dpsHit+$F53*dpsAP+$I53*dpsHaste+$J53*dpsArmor+$K53*dpsExp)-'Gear &amp; Buffs'!$AF$66</f>
        <v>9.2291687403608194</v>
      </c>
      <c r="V53" s="887">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4">
        <v>50</v>
      </c>
      <c r="Y53" s="710" t="str">
        <f t="shared" si="1"/>
        <v/>
      </c>
      <c r="Z53" s="1389"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87">
        <f>($D54*dpsStr+$E54*dpsAgi+$G54*dpsCrit+$H54*dpsHit+$F54*dpsAP+$I54*dpsHaste+$J54*dpsArmor+$K54*dpsExp)-'Gear &amp; Buffs'!$AF$66</f>
        <v>21.043891726325455</v>
      </c>
      <c r="V54" s="887">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4">
        <v>51</v>
      </c>
      <c r="Y54" s="710" t="str">
        <f t="shared" si="1"/>
        <v/>
      </c>
      <c r="Z54" s="1389"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87">
        <f>($D55*dpsStr+$E55*dpsAgi+$G55*dpsCrit+$H55*dpsHit+$F55*dpsAP+$I55*dpsHaste+$J55*dpsArmor+$K55*dpsExp)-'Gear &amp; Buffs'!$AF$66</f>
        <v>28.023243296873261</v>
      </c>
      <c r="V55" s="887">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4">
        <v>52</v>
      </c>
      <c r="Y55" s="710" t="str">
        <f t="shared" si="1"/>
        <v/>
      </c>
      <c r="Z55" s="1389"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6">
        <f>'Gear &amp; Buffs'!$S$166</f>
        <v>0</v>
      </c>
      <c r="S56" s="114"/>
      <c r="T56" s="116"/>
      <c r="U56" s="887">
        <f>($D56*dpsStr+$E56*dpsAgi+$G56*dpsCrit+$H56*dpsHit+$F56*dpsAP+$I56*dpsHaste+$J56*dpsArmor+$K56*dpsExp)-'Gear &amp; Buffs'!$AF$66</f>
        <v>-130.73802482919473</v>
      </c>
      <c r="V56" s="887">
        <f>($D56*dpsStr+$E56*dpsAgi+$G56*dpsCrit+$H56*dpsHit+$F56*dpsAP+$I56*dpsHaste+$J56*dpsArmor+$K56*dpsExp)-'Gear &amp; Buffs'!$AF$68</f>
        <v>-136.94643403976124</v>
      </c>
      <c r="W56" s="114">
        <f>MAX($W$1:W55)+1</f>
        <v>34</v>
      </c>
      <c r="X56" s="734">
        <v>53</v>
      </c>
      <c r="Y56" s="710"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6">
        <f>'Gear &amp; Buffs'!$S$167</f>
        <v>0</v>
      </c>
      <c r="S57" s="114"/>
      <c r="T57" s="116"/>
      <c r="U57" s="887">
        <f>($D57*dpsStr+$E57*dpsAgi+$G57*dpsCrit+$H57*dpsHit+$F57*dpsAP+$I57*dpsHaste+$J57*dpsArmor+$K57*dpsExp)-'Gear &amp; Buffs'!$AF$66</f>
        <v>-130.73802482919473</v>
      </c>
      <c r="V57" s="887">
        <f>($D57*dpsStr+$E57*dpsAgi+$G57*dpsCrit+$H57*dpsHit+$F57*dpsAP+$I57*dpsHaste+$J57*dpsArmor+$K57*dpsExp)-'Gear &amp; Buffs'!$AF$68</f>
        <v>-136.94643403976124</v>
      </c>
      <c r="W57" s="114">
        <f>MAX($W$1:W56)+1</f>
        <v>35</v>
      </c>
      <c r="X57" s="734">
        <v>54</v>
      </c>
      <c r="Y57" s="710"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87"/>
      <c r="V58" s="887"/>
      <c r="W58" s="114"/>
      <c r="X58" s="734">
        <v>55</v>
      </c>
      <c r="Y58" s="710" t="str">
        <f t="shared" si="1"/>
        <v/>
      </c>
      <c r="Z58" s="47"/>
      <c r="AA58" s="47"/>
    </row>
    <row r="59" spans="1:29">
      <c r="B59" s="116"/>
      <c r="C59" s="116"/>
      <c r="I59" s="116"/>
      <c r="J59" s="114"/>
      <c r="K59" s="116"/>
      <c r="M59" s="116"/>
      <c r="N59" s="116"/>
      <c r="O59" s="116"/>
      <c r="P59" s="114"/>
      <c r="Q59" s="114"/>
      <c r="R59" s="114"/>
      <c r="T59" s="116"/>
      <c r="X59" s="865"/>
    </row>
    <row r="60" spans="1:29" s="47" customFormat="1" ht="23.25" thickBot="1">
      <c r="A60" s="736" t="s">
        <v>1703</v>
      </c>
      <c r="B60" s="726" t="s">
        <v>1933</v>
      </c>
      <c r="C60" s="726" t="s">
        <v>2795</v>
      </c>
      <c r="D60" s="727" t="s">
        <v>1213</v>
      </c>
      <c r="E60" s="727" t="s">
        <v>1214</v>
      </c>
      <c r="F60" s="727" t="s">
        <v>767</v>
      </c>
      <c r="G60" s="726" t="s">
        <v>2139</v>
      </c>
      <c r="H60" s="726" t="s">
        <v>2138</v>
      </c>
      <c r="I60" s="726" t="s">
        <v>770</v>
      </c>
      <c r="J60" s="728" t="s">
        <v>769</v>
      </c>
      <c r="K60" s="726" t="s">
        <v>759</v>
      </c>
      <c r="L60" s="727" t="s">
        <v>1215</v>
      </c>
      <c r="M60" s="726" t="s">
        <v>264</v>
      </c>
      <c r="N60" s="726" t="s">
        <v>1216</v>
      </c>
      <c r="O60" s="726" t="s">
        <v>1286</v>
      </c>
      <c r="P60" s="726" t="s">
        <v>1045</v>
      </c>
      <c r="Q60" s="727" t="s">
        <v>1046</v>
      </c>
      <c r="R60" s="727" t="s">
        <v>1940</v>
      </c>
      <c r="S60" s="727" t="s">
        <v>665</v>
      </c>
      <c r="T60" s="726" t="s">
        <v>920</v>
      </c>
      <c r="U60" s="727" t="s">
        <v>1221</v>
      </c>
      <c r="V60" s="750" t="s">
        <v>1704</v>
      </c>
      <c r="W60" s="740">
        <v>0</v>
      </c>
      <c r="X60" s="737"/>
      <c r="Y60" s="738" t="s">
        <v>1688</v>
      </c>
    </row>
    <row r="61" spans="1:29">
      <c r="A61" s="732" t="s">
        <v>1705</v>
      </c>
      <c r="B61" s="693">
        <v>2931</v>
      </c>
      <c r="C61" s="693">
        <v>3</v>
      </c>
      <c r="D61" s="692">
        <v>4</v>
      </c>
      <c r="E61" s="692">
        <v>4</v>
      </c>
      <c r="F61" s="692"/>
      <c r="G61" s="693"/>
      <c r="H61" s="693"/>
      <c r="I61" s="693"/>
      <c r="J61" s="693"/>
      <c r="K61" s="693"/>
      <c r="L61" s="692">
        <v>4</v>
      </c>
      <c r="M61" s="693"/>
      <c r="N61" s="693"/>
      <c r="O61" s="693"/>
      <c r="P61" s="693"/>
      <c r="Q61" s="693"/>
      <c r="R61" s="693"/>
      <c r="S61" s="693" t="s">
        <v>805</v>
      </c>
      <c r="T61" s="693" t="b">
        <v>0</v>
      </c>
      <c r="U61" s="693"/>
      <c r="V61" s="752"/>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3"/>
      <c r="Y61" s="709" t="str">
        <f>" "</f>
        <v xml:space="preserve"> </v>
      </c>
    </row>
    <row r="62" spans="1:29">
      <c r="A62" s="673" t="s">
        <v>1563</v>
      </c>
      <c r="B62" s="675">
        <v>2929</v>
      </c>
      <c r="C62" s="675">
        <v>1</v>
      </c>
      <c r="D62" s="674"/>
      <c r="E62" s="674"/>
      <c r="F62" s="674"/>
      <c r="G62" s="675"/>
      <c r="H62" s="675"/>
      <c r="I62" s="675"/>
      <c r="J62" s="675"/>
      <c r="K62" s="675"/>
      <c r="L62" s="674"/>
      <c r="M62" s="675"/>
      <c r="N62" s="675"/>
      <c r="O62" s="675"/>
      <c r="P62" s="675"/>
      <c r="Q62" s="675"/>
      <c r="R62" s="675"/>
      <c r="S62" s="675" t="s">
        <v>805</v>
      </c>
      <c r="T62" s="675" t="b">
        <v>0</v>
      </c>
      <c r="U62" s="675"/>
      <c r="V62" s="714">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4">
        <v>1</v>
      </c>
      <c r="Y62" s="748" t="str">
        <f>IF(ISNA(INDEX($A$61:$A$62,MATCH(X62,W$61:W$62,0))), "", INDEX($A$61:$A$62,MATCH(X62,W$61:W$62,0)))</f>
        <v>Striking (+2dmg)</v>
      </c>
    </row>
    <row r="63" spans="1:29">
      <c r="A63" s="673" t="s">
        <v>2206</v>
      </c>
      <c r="B63" s="678"/>
      <c r="C63" s="678"/>
      <c r="D63" s="678"/>
      <c r="E63" s="678"/>
      <c r="F63" s="678"/>
      <c r="G63" s="678"/>
      <c r="H63" s="678"/>
      <c r="I63" s="678"/>
      <c r="J63" s="678"/>
      <c r="K63" s="678"/>
      <c r="L63" s="678"/>
      <c r="M63" s="678"/>
      <c r="N63" s="678"/>
      <c r="O63" s="678"/>
      <c r="P63" s="678"/>
      <c r="Q63" s="678"/>
      <c r="R63" s="678"/>
      <c r="S63" s="678"/>
      <c r="T63" s="678"/>
      <c r="U63" s="678"/>
      <c r="V63" s="764"/>
      <c r="W63" s="677"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4">
        <v>2</v>
      </c>
      <c r="Y63" s="748"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election activeCell="AG5" sqref="AG5"/>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1220</v>
      </c>
      <c r="Q1" s="700" t="s">
        <v>1046</v>
      </c>
      <c r="R1" s="700" t="s">
        <v>1940</v>
      </c>
      <c r="S1" s="700" t="s">
        <v>665</v>
      </c>
      <c r="T1" s="845" t="s">
        <v>1706</v>
      </c>
      <c r="U1" s="696" t="s">
        <v>1707</v>
      </c>
      <c r="V1" s="701"/>
      <c r="W1" s="700" t="s">
        <v>709</v>
      </c>
      <c r="X1" s="700" t="s">
        <v>710</v>
      </c>
      <c r="Y1" s="700" t="s">
        <v>711</v>
      </c>
      <c r="Z1" s="739">
        <v>0</v>
      </c>
      <c r="AA1" s="739"/>
      <c r="AB1" s="696"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3"/>
      <c r="X2" s="887">
        <f>($D2*dpsStr+$E2*dpsAgi+$G2*dpsCrit+$H2*dpsHit+$F2*dpsAP+$I2*dpsHaste+$J2*dpsArmor+$K2*dpsExp)+$W2-'Gear &amp; Buffs'!$AF$70</f>
        <v>-358.28304712042586</v>
      </c>
      <c r="Y2" s="887">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4"/>
      <c r="AB2" s="710" t="s">
        <v>1688</v>
      </c>
      <c r="AC2" s="1388"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3"/>
      <c r="X3" s="887">
        <f>($D3*dpsStr+$E3*dpsAgi+$G3*dpsCrit+$H3*dpsHit+$F3*dpsAP+$I3*dpsHaste+$J3*dpsArmor+$K3*dpsExp)+$W3-'Gear &amp; Buffs'!$AF$70</f>
        <v>-366.7504463594571</v>
      </c>
      <c r="Y3" s="887">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4"/>
      <c r="AB3" s="710" t="str">
        <f>" "</f>
        <v xml:space="preserve"> </v>
      </c>
      <c r="AC3" s="1388"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3"/>
      <c r="X4" s="887">
        <f>($D4*dpsStr+$E4*dpsAgi+$G4*dpsCrit+$H4*dpsHit+$F4*dpsAP+$I4*dpsHaste+$J4*dpsArmor+$K4*dpsExp)+$W4-'Gear &amp; Buffs'!$AF$70</f>
        <v>-321.48789019583114</v>
      </c>
      <c r="Y4" s="887">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4">
        <v>1</v>
      </c>
      <c r="AB4" s="710" t="str">
        <f t="shared" ref="AB4:AB40" si="1">IF(ISNA(INDEX($A$2:$A$39,MATCH(AA4,Z$2:Z$39,0))), "", INDEX($A$2:$A$39,MATCH(AA4,Z$2:Z$39,0)))</f>
        <v>Abacus of Violent Odds</v>
      </c>
      <c r="AC4" s="1388" t="str">
        <f t="shared" si="0"/>
        <v>Ashtongue Talisman of Lethality</v>
      </c>
      <c r="AE4" s="848"/>
      <c r="AF4" s="848"/>
      <c r="AG4" s="848"/>
      <c r="AH4" s="848"/>
      <c r="AI4" s="848" t="s">
        <v>2847</v>
      </c>
      <c r="AJ4" s="848"/>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3"/>
      <c r="X5" s="887">
        <f>($D5*dpsStr+$E5*dpsAgi+$G5*dpsCrit+$H5*dpsHit+$F5*dpsAP+$I5*dpsHaste+$J5*dpsArmor+$K5*dpsExp)+$W5-'Gear &amp; Buffs'!$AF$70</f>
        <v>-342.56052598279871</v>
      </c>
      <c r="Y5" s="887">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4">
        <v>2</v>
      </c>
      <c r="AB5" s="710" t="str">
        <f t="shared" si="1"/>
        <v>Ancient Draenei War Talisman</v>
      </c>
      <c r="AC5" s="1388" t="str">
        <f t="shared" si="0"/>
        <v>Assassin's Alchemist Stone</v>
      </c>
      <c r="AE5" s="848"/>
      <c r="AF5" s="849" t="s">
        <v>2848</v>
      </c>
      <c r="AG5" s="850">
        <f>Optimize!C54</f>
        <v>0.33374978855287174</v>
      </c>
      <c r="AH5" s="850">
        <f>IF(AI5*AG5&gt;0, AI5*AG5, 1)</f>
        <v>22.60196166079864</v>
      </c>
      <c r="AI5" s="850">
        <f>Optimize!C55</f>
        <v>67.721276345372416</v>
      </c>
      <c r="AJ5" s="848"/>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3"/>
      <c r="X6" s="887">
        <f>($D6*dpsStr+$E6*dpsAgi+$G6*dpsCrit+$H6*dpsHit+$F6*dpsAP+$I6*dpsHaste+$J6*dpsArmor+$K6*dpsExp)+$W6-'Gear &amp; Buffs'!$AF$70</f>
        <v>-381.15216877515627</v>
      </c>
      <c r="Y6" s="887">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4">
        <v>3</v>
      </c>
      <c r="AB6" s="710" t="str">
        <f t="shared" si="1"/>
        <v>Badge of Tenacity</v>
      </c>
      <c r="AC6" s="1388" t="str">
        <f t="shared" si="0"/>
        <v>Badge of Tenacity</v>
      </c>
      <c r="AE6" s="848"/>
      <c r="AF6" s="848" t="s">
        <v>2849</v>
      </c>
      <c r="AG6" s="848" t="s">
        <v>2850</v>
      </c>
      <c r="AH6" s="848" t="s">
        <v>2851</v>
      </c>
      <c r="AI6" s="848" t="s">
        <v>2852</v>
      </c>
      <c r="AJ6" s="848"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3"/>
      <c r="X7" s="887">
        <f>($D7*dpsStr+$E7*dpsAgi+$G7*dpsCrit+$H7*dpsHit+$F7*dpsAP+$I7*dpsHaste+$J7*dpsArmor+$K7*dpsExp)+$W7-'Gear &amp; Buffs'!$AF$70</f>
        <v>-381.15216877515627</v>
      </c>
      <c r="Y7" s="887">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4">
        <v>4</v>
      </c>
      <c r="AB7" s="710" t="str">
        <f t="shared" si="1"/>
        <v>Badge of the Swarmguard</v>
      </c>
      <c r="AC7" s="1388" t="str">
        <f t="shared" si="0"/>
        <v>Badge of the Swarmguard</v>
      </c>
      <c r="AE7" s="848" t="s">
        <v>2854</v>
      </c>
      <c r="AF7" s="851">
        <f>30/BotSprocs</f>
        <v>1.3273184182075968</v>
      </c>
      <c r="AG7" s="851">
        <v>1</v>
      </c>
      <c r="AH7" s="851">
        <v>0</v>
      </c>
      <c r="AI7" s="851">
        <v>0</v>
      </c>
      <c r="AJ7" s="848">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3"/>
      <c r="X8" s="887">
        <f>($D8*dpsStr+$E8*dpsAgi+$G8*dpsCrit+$H8*dpsHit+$F8*dpsAP+$I8*dpsHaste+$J8*dpsArmor+$K8*dpsExp)+$W8-'Gear &amp; Buffs'!$AF$70</f>
        <v>-348.99246644819164</v>
      </c>
      <c r="Y8" s="887">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4">
        <v>5</v>
      </c>
      <c r="AB8" s="710" t="str">
        <f t="shared" si="1"/>
        <v>Bladefist's Breadth</v>
      </c>
      <c r="AC8" s="1388" t="str">
        <f t="shared" si="0"/>
        <v>Berserker's Call</v>
      </c>
      <c r="AE8" s="848" t="s">
        <v>1273</v>
      </c>
      <c r="AF8" s="851">
        <f>30/(1+BotSprocs/(1-EXP(-BotSprocs)))</f>
        <v>1.2710807867059044</v>
      </c>
      <c r="AG8" s="851">
        <f>(1-EXP(-$AI$5*BotSrate))</f>
        <v>0.99999999984721077</v>
      </c>
      <c r="AH8" s="851">
        <v>30</v>
      </c>
      <c r="AI8" s="851">
        <f>AG7-AG8</f>
        <v>1.5278922571582143E-10</v>
      </c>
      <c r="AJ8" s="848">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3"/>
      <c r="X9" s="887">
        <f>($D9*dpsStr+$E9*dpsAgi+$G9*dpsCrit+$H9*dpsHit+$F9*dpsAP+$I9*dpsHaste+$J9*dpsArmor+$K9*dpsExp)+$W9-'Gear &amp; Buffs'!$AF$70</f>
        <v>-125.23218030867787</v>
      </c>
      <c r="Y9" s="887">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4">
        <v>6</v>
      </c>
      <c r="AB9" s="710" t="str">
        <f t="shared" si="1"/>
        <v>Core of Ar'kelos</v>
      </c>
      <c r="AC9" s="1388" t="str">
        <f t="shared" si="0"/>
        <v>Blackened Naaru Sliver</v>
      </c>
      <c r="AE9" s="848" t="s">
        <v>1276</v>
      </c>
      <c r="AF9" s="851">
        <f>30/(1+BotSprocs/(1-EXP(-BotSprocs)))</f>
        <v>1.2710807867059044</v>
      </c>
      <c r="AG9" s="851">
        <f>(1-EXP(-$AI$5*BotSrate))^2</f>
        <v>0.99999999969442155</v>
      </c>
      <c r="AH9" s="851">
        <v>30</v>
      </c>
      <c r="AI9" s="851">
        <f>AG8-AG9</f>
        <v>1.5278922571582143E-10</v>
      </c>
      <c r="AJ9" s="848">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3"/>
      <c r="X10" s="887">
        <f>($D10*dpsStr+$E10*dpsAgi+$G10*dpsCrit+$H10*dpsHit+$F10*dpsAP+$I10*dpsHaste+$J10*dpsArmor+$K10*dpsExp)+$W10-'Gear &amp; Buffs'!$AF$70</f>
        <v>-363.32146483190968</v>
      </c>
      <c r="Y10" s="887">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4">
        <v>7</v>
      </c>
      <c r="AB10" s="710" t="str">
        <f t="shared" si="1"/>
        <v>Drake Fang Talisman</v>
      </c>
      <c r="AC10" s="1388" t="str">
        <f t="shared" si="0"/>
        <v>Bladefist's Breadth</v>
      </c>
      <c r="AE10" s="848" t="s">
        <v>1279</v>
      </c>
      <c r="AF10" s="851">
        <f>30/(1+BotSprocs/(1-EXP(-BotSprocs)))</f>
        <v>1.2710807867059044</v>
      </c>
      <c r="AG10" s="851">
        <f>(1-EXP(-$AI$5*BotSrate))^3</f>
        <v>0.99999999954163232</v>
      </c>
      <c r="AH10" s="851">
        <v>30</v>
      </c>
      <c r="AI10" s="851">
        <f>AG9-AG10</f>
        <v>1.5278922571582143E-10</v>
      </c>
      <c r="AJ10" s="848">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3"/>
      <c r="X11" s="887">
        <f>($D11*dpsStr+$E11*dpsAgi+$G11*dpsCrit+$H11*dpsHit+$F11*dpsAP+$I11*dpsHaste+$J11*dpsArmor+$K11*dpsExp)+$W11-'Gear &amp; Buffs'!$AF$70</f>
        <v>-355.42440691358456</v>
      </c>
      <c r="Y11" s="887">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4">
        <v>8</v>
      </c>
      <c r="AB11" s="710" t="str">
        <f t="shared" si="1"/>
        <v>Figurine - Nightseye Panther</v>
      </c>
      <c r="AC11" s="1388" t="str">
        <f t="shared" si="0"/>
        <v>Bloodlust Brooch</v>
      </c>
      <c r="AE11" s="848" t="s">
        <v>1281</v>
      </c>
      <c r="AF11" s="851">
        <f>30/(1+BotSprocs/(1-EXP(-BotSprocs)))</f>
        <v>1.2710807867059044</v>
      </c>
      <c r="AG11" s="851">
        <f>(1-EXP(-$AI$5*BotSrate))^4</f>
        <v>0.9999999993888431</v>
      </c>
      <c r="AH11" s="851">
        <v>30</v>
      </c>
      <c r="AI11" s="851">
        <f>AG10-AG11</f>
        <v>1.5278922571582143E-10</v>
      </c>
      <c r="AJ11" s="848">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3"/>
      <c r="X12" s="887">
        <f>($D12*dpsStr+$E12*dpsAgi+$G12*dpsCrit+$H12*dpsHit+$F12*dpsAP+$I12*dpsHaste+$J12*dpsArmor+$K12*dpsExp)+$W12-'Gear &amp; Buffs'!$AF$70</f>
        <v>-362.57100743068781</v>
      </c>
      <c r="Y12" s="887">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4">
        <v>9</v>
      </c>
      <c r="AB12" s="710" t="str">
        <f t="shared" si="1"/>
        <v>Hand of Justice</v>
      </c>
      <c r="AC12" s="1388" t="str">
        <f t="shared" si="0"/>
        <v>Core of Ar'kelos</v>
      </c>
      <c r="AE12" s="848" t="s">
        <v>1283</v>
      </c>
      <c r="AF12" s="851">
        <f>30/(1+BotSprocs/(1-EXP(-BotSprocs)))</f>
        <v>1.2710807867059044</v>
      </c>
      <c r="AG12" s="851">
        <f>(1-EXP(-$AI$5*BotSrate))^5</f>
        <v>0.99999999923605387</v>
      </c>
      <c r="AH12" s="851">
        <v>30</v>
      </c>
      <c r="AI12" s="851">
        <f>AG11-AG12</f>
        <v>1.5278922571582143E-10</v>
      </c>
      <c r="AJ12" s="848">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3"/>
      <c r="X13" s="887">
        <f>($D13*dpsStr+$E13*dpsAgi+$G13*dpsCrit+$H13*dpsHit+$F13*dpsAP+$I13*dpsHaste+$J13*dpsArmor+$K13*dpsExp)+$W13-'Gear &amp; Buffs'!$AF$70</f>
        <v>-381.15216877515627</v>
      </c>
      <c r="Y13" s="887">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4">
        <v>10</v>
      </c>
      <c r="AB13" s="710" t="str">
        <f t="shared" si="1"/>
        <v>Hourglass of the Unraveller</v>
      </c>
      <c r="AC13" s="1388" t="str">
        <f t="shared" si="0"/>
        <v>Crystalforged Trinket</v>
      </c>
      <c r="AE13" s="848" t="s">
        <v>2855</v>
      </c>
      <c r="AF13" s="851">
        <f>MIN(AF12/EXP(-AI5*BotSrate),IF(time=0,30,MIN(30,time))-SUMPRODUCT(AF7:AF12,AG7:AG12))</f>
        <v>22.317277651175992</v>
      </c>
      <c r="AG13" s="851">
        <f>(1-EXP(-$AI$5*BotSrate))^6</f>
        <v>0.99999999908326465</v>
      </c>
      <c r="AH13" s="851">
        <v>0</v>
      </c>
      <c r="AI13" s="851">
        <v>0</v>
      </c>
      <c r="AJ13" s="848">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3"/>
      <c r="X14" s="887">
        <f>($D14*dpsStr+$E14*dpsAgi+$G14*dpsCrit+$H14*dpsHit+$F14*dpsAP+$I14*dpsHaste+$J14*dpsArmor+$K14*dpsExp)+$W14-'Gear &amp; Buffs'!$AF$70</f>
        <v>-338.83703311189242</v>
      </c>
      <c r="Y14" s="887">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4">
        <v>11</v>
      </c>
      <c r="AB14" s="710" t="str">
        <f t="shared" si="1"/>
        <v>Icon of Unyielding Courage</v>
      </c>
      <c r="AC14" s="1388" t="str">
        <f t="shared" si="0"/>
        <v>Darkmoon Card: Crusade</v>
      </c>
      <c r="AE14" s="848"/>
      <c r="AF14" s="851">
        <f>SUMPRODUCT(AF7:AF13,AG7:AG13)</f>
        <v>29.999999979540959</v>
      </c>
      <c r="AG14" s="851"/>
      <c r="AH14" s="851">
        <f>SUMPRODUCT(AH7:AH13,AI7:AI13)</f>
        <v>2.2918383857373215E-8</v>
      </c>
      <c r="AI14" s="851"/>
      <c r="AJ14" s="848"/>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3"/>
      <c r="X15" s="887">
        <f>($D15*dpsStr+$E15*dpsAgi+$G15*dpsCrit+$H15*dpsHit+$F15*dpsAP+$I15*dpsHaste+$J15*dpsArmor+$K15*dpsExp)+$W15-'Gear &amp; Buffs'!$AF$70</f>
        <v>-381.15216877515627</v>
      </c>
      <c r="Y15" s="887">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4">
        <v>12</v>
      </c>
      <c r="AB15" s="710" t="str">
        <f t="shared" si="1"/>
        <v>Jom Gabbar</v>
      </c>
      <c r="AC15" s="1388" t="str">
        <f t="shared" si="0"/>
        <v>Darkmoon Card: Wrath</v>
      </c>
      <c r="AE15" s="848"/>
      <c r="AF15" s="851">
        <f>SUMPRODUCT(AF7:AF13,AG7:AG13,AJ7:AJ13)</f>
        <v>152.96987757420888</v>
      </c>
      <c r="AG15" s="851"/>
      <c r="AH15" s="851">
        <f>SUMPRODUCT(AH7:AH13,AI7:AI13,AJ7:AJ13)</f>
        <v>6.8755151572119644E-8</v>
      </c>
      <c r="AI15" s="851"/>
      <c r="AJ15" s="848"/>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3"/>
      <c r="X16" s="887">
        <f>($D16*dpsStr+$E16*dpsAgi+$G16*dpsCrit+$H16*dpsHit+$F16*dpsAP+$I16*dpsHaste+$J16*dpsArmor+$K16*dpsExp)+$W16-'Gear &amp; Buffs'!$AF$70</f>
        <v>0</v>
      </c>
      <c r="Y16" s="887">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4">
        <v>13</v>
      </c>
      <c r="AB16" s="710" t="str">
        <f t="shared" si="1"/>
        <v>Kiss of the Spider</v>
      </c>
      <c r="AC16" s="1388" t="str">
        <f t="shared" si="0"/>
        <v>Dragonspine Trophy</v>
      </c>
      <c r="AE16" s="848"/>
      <c r="AF16" s="851"/>
      <c r="AG16" s="851">
        <f>(AF15+AH15)/(AF14+AH14)</f>
        <v>5.0989959210141285</v>
      </c>
      <c r="AH16" s="851"/>
      <c r="AI16" s="851"/>
      <c r="AJ16" s="848"/>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3"/>
      <c r="X17" s="887">
        <f>($D17*dpsStr+$E17*dpsAgi+$G17*dpsCrit+$H17*dpsHit+$F17*dpsAP+$I17*dpsHaste+$J17*dpsArmor+$K17*dpsExp)+$W17-'Gear &amp; Buffs'!$AF$70</f>
        <v>-250.14105798472406</v>
      </c>
      <c r="Y17" s="887">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4">
        <v>14</v>
      </c>
      <c r="AB17" s="710" t="str">
        <f t="shared" si="1"/>
        <v>Mark of the Champion</v>
      </c>
      <c r="AC17" s="1388" t="str">
        <f t="shared" si="0"/>
        <v>Drake Fang Talisman</v>
      </c>
      <c r="AE17" s="848" t="s">
        <v>2856</v>
      </c>
      <c r="AF17" s="851">
        <f>MAX(basearmor-(serrb*8*70/3+435*Weapons!$H$330+SUM('Gear &amp; Buffs'!Q10:Q69)+SUM('Gear &amp; Buffs'!Q80:Q142)+IF('Gear &amp; Buffs'!B70="Badge of the Swarmguard", 0, 'Gear &amp; Buffs'!Q70)+IF('Gear &amp; Buffs'!B71="Badge of the Swarmguard", 0, 'Gear &amp; Buffs'!Q71)),0)</f>
        <v>3675</v>
      </c>
      <c r="AG17" s="848"/>
      <c r="AH17" s="852"/>
      <c r="AI17" s="848"/>
      <c r="AJ17" s="848"/>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3" t="s">
        <v>1344</v>
      </c>
      <c r="U18" s="114" t="s">
        <v>1345</v>
      </c>
      <c r="V18" s="116" t="s">
        <v>1108</v>
      </c>
      <c r="W18" s="773"/>
      <c r="X18" s="887">
        <f>($D18*dpsStr+$E18*dpsAgi+$G18*dpsCrit+$H18*dpsHit+$F18*dpsAP+$I18*dpsHaste+$J18*dpsArmor+$K18*dpsExp)+$W18-'Gear &amp; Buffs'!$AF$70</f>
        <v>-351.13644660332261</v>
      </c>
      <c r="Y18" s="887">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4">
        <v>15</v>
      </c>
      <c r="AB18" s="710" t="str">
        <f t="shared" si="1"/>
        <v>Ogre Mauler's Badge</v>
      </c>
      <c r="AC18" s="1388"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3"/>
      <c r="X19" s="887">
        <f>($D19*dpsStr+$E19*dpsAgi+$G19*dpsCrit+$H19*dpsHit+$F19*dpsAP+$I19*dpsHaste+$J19*dpsArmor+$K19*dpsExp)+$W19-'Gear &amp; Buffs'!$AF$70</f>
        <v>-361.85634737897749</v>
      </c>
      <c r="Y19" s="887">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4">
        <v>16</v>
      </c>
      <c r="AB19" s="710" t="str">
        <f t="shared" si="1"/>
        <v>Romulo's Poison Vial</v>
      </c>
      <c r="AC19" s="1388"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3"/>
      <c r="X20" s="887">
        <f>($D20*dpsStr+$E20*dpsAgi+$G20*dpsCrit+$H20*dpsHit+$F20*dpsAP+$I20*dpsHaste+$J20*dpsArmor+$K20*dpsExp)+$W20-'Gear &amp; Buffs'!$AF$70</f>
        <v>-352.56576670674326</v>
      </c>
      <c r="Y20" s="887">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4">
        <v>17</v>
      </c>
      <c r="AB20" s="710" t="str">
        <f t="shared" si="1"/>
        <v>Seal of the Dawn</v>
      </c>
      <c r="AC20" s="1388"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3"/>
      <c r="X21" s="887">
        <f>($D21*dpsStr+$E21*dpsAgi+$G21*dpsCrit+$H21*dpsHit+$F21*dpsAP+$I21*dpsHaste+$J21*dpsArmor+$K21*dpsExp)+$W21-'Gear &amp; Buffs'!$AF$70</f>
        <v>-374.00556825805302</v>
      </c>
      <c r="Y21" s="887">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4">
        <v>18</v>
      </c>
      <c r="AB21" s="710" t="str">
        <f t="shared" si="1"/>
        <v>Slayer's Crest</v>
      </c>
      <c r="AC21" s="1388" t="str">
        <f t="shared" si="0"/>
        <v>Hand of Justice</v>
      </c>
      <c r="AE21" s="793"/>
      <c r="AF21" s="1319" t="s">
        <v>1657</v>
      </c>
      <c r="AG21" s="793"/>
      <c r="AH21" s="793"/>
      <c r="AI21" s="793"/>
      <c r="AJ21" s="793"/>
      <c r="AK21" s="793"/>
      <c r="AL21" s="793"/>
      <c r="AM21" s="793"/>
      <c r="AN21" s="793"/>
      <c r="AO21" s="793"/>
      <c r="AP21" s="793"/>
      <c r="AQ21" s="793"/>
      <c r="AR21" s="793"/>
      <c r="AS21" s="793"/>
      <c r="AT21" s="793"/>
      <c r="AU21" s="793"/>
      <c r="AV21" s="793"/>
      <c r="AW21" s="793"/>
      <c r="AX21" s="793"/>
      <c r="AY21" s="793"/>
      <c r="AZ21" s="793"/>
      <c r="BA21" s="793"/>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3"/>
      <c r="X22" s="887">
        <f>($D22*dpsStr+$E22*dpsAgi+$G22*dpsCrit+$H22*dpsHit+$F22*dpsAP+$I22*dpsHaste+$J22*dpsArmor+$K22*dpsExp)+$W22-'Gear &amp; Buffs'!$AF$70</f>
        <v>-343.55148433409096</v>
      </c>
      <c r="Y22" s="887">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4">
        <v>19</v>
      </c>
      <c r="AB22" s="710" t="str">
        <f t="shared" si="1"/>
        <v>Terokkar Tablet of Precision</v>
      </c>
      <c r="AC22" s="1388" t="str">
        <f t="shared" si="0"/>
        <v>Hourglass of the Unraveller</v>
      </c>
      <c r="AE22" s="793"/>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3"/>
      <c r="X23" s="887">
        <f>($D23*dpsStr+$E23*dpsAgi+$G23*dpsCrit+$H23*dpsHit+$F23*dpsAP+$I23*dpsHaste+$J23*dpsArmor+$K23*dpsExp)+$W23-'Gear &amp; Buffs'!$AF$70</f>
        <v>-214.65122476134161</v>
      </c>
      <c r="Y23" s="887">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4">
        <v>20</v>
      </c>
      <c r="AB23" s="710" t="str">
        <f t="shared" si="1"/>
        <v>Uniting Charm</v>
      </c>
      <c r="AC23" s="1388" t="str">
        <f t="shared" si="0"/>
        <v>Icon of Unyielding Courage</v>
      </c>
      <c r="AE23" s="793"/>
      <c r="AF23" s="1314"/>
      <c r="AG23" s="1314">
        <f t="shared" ref="AG23:AZ23" si="2">POWER((1-$AF$24),AG22)</f>
        <v>0.77888830774793893</v>
      </c>
      <c r="AH23" s="1314">
        <f t="shared" si="2"/>
        <v>0.60666699594644802</v>
      </c>
      <c r="AI23" s="1314">
        <f t="shared" si="2"/>
        <v>0.47252582983925462</v>
      </c>
      <c r="AJ23" s="1314">
        <f t="shared" si="2"/>
        <v>0.3680448439706876</v>
      </c>
      <c r="AK23" s="1314">
        <f t="shared" si="2"/>
        <v>0.28666582569568311</v>
      </c>
      <c r="AL23" s="1314">
        <f t="shared" si="2"/>
        <v>0.22328065986527623</v>
      </c>
      <c r="AM23" s="1314">
        <f t="shared" si="2"/>
        <v>0.17391069531530814</v>
      </c>
      <c r="AN23" s="1314">
        <f t="shared" si="2"/>
        <v>0.13545700717340778</v>
      </c>
      <c r="AO23" s="1314">
        <f t="shared" si="2"/>
        <v>0.105505879089896</v>
      </c>
      <c r="AP23" s="1314">
        <f t="shared" si="2"/>
        <v>8.2177295621787758E-2</v>
      </c>
      <c r="AQ23" s="1314">
        <f t="shared" si="2"/>
        <v>6.4006934722156378E-2</v>
      </c>
      <c r="AR23" s="1314">
        <f t="shared" si="2"/>
        <v>4.9854253069873178E-2</v>
      </c>
      <c r="AS23" s="1314">
        <f t="shared" si="2"/>
        <v>3.8830894807631008E-2</v>
      </c>
      <c r="AT23" s="1314">
        <f t="shared" si="2"/>
        <v>3.0244929945053945E-2</v>
      </c>
      <c r="AU23" s="1314">
        <f t="shared" si="2"/>
        <v>2.3557422302858028E-2</v>
      </c>
      <c r="AV23" s="1314">
        <f t="shared" si="2"/>
        <v>1.8348600792376647E-2</v>
      </c>
      <c r="AW23" s="1314">
        <f t="shared" si="2"/>
        <v>1.4291510620716737E-2</v>
      </c>
      <c r="AX23" s="1314">
        <f t="shared" si="2"/>
        <v>1.1131490522531757E-2</v>
      </c>
      <c r="AY23" s="1314">
        <f t="shared" si="2"/>
        <v>8.6701878158069803E-3</v>
      </c>
      <c r="AZ23" s="1314">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3"/>
      <c r="X24" s="887">
        <f>($D24*dpsStr+$E24*dpsAgi+$G24*dpsCrit+$H24*dpsHit+$F24*dpsAP+$I24*dpsHaste+$J24*dpsArmor+$K24*dpsExp)+$W24-'Gear &amp; Buffs'!$AF$70</f>
        <v>-381.15216877515627</v>
      </c>
      <c r="Y24" s="887">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4">
        <v>21</v>
      </c>
      <c r="AB24" s="710" t="str">
        <f t="shared" si="1"/>
        <v>(Unmodeled)</v>
      </c>
      <c r="AC24" s="1388" t="str">
        <f t="shared" si="0"/>
        <v>Jom Gabbar</v>
      </c>
      <c r="AE24" s="793" t="s">
        <v>915</v>
      </c>
      <c r="AF24" s="1314">
        <f>(('Gear &amp; Buffs'!E143/agicrit+'Gear &amp; Buffs'!G143/crrate)/100)+(CharLevel-BossLevel)*bosscrit*5-IF(BossLevel*5-CharLevel*5&gt;10, 1.8%, 0)</f>
        <v>0.22111169225206101</v>
      </c>
      <c r="AG24" s="1314">
        <f t="shared" ref="AG24:AZ24" si="3">AF24+17/crrate/100</f>
        <v>0.22881204068411676</v>
      </c>
      <c r="AH24" s="1314">
        <f t="shared" si="3"/>
        <v>0.23651238911617251</v>
      </c>
      <c r="AI24" s="1314">
        <f t="shared" si="3"/>
        <v>0.24421273754822825</v>
      </c>
      <c r="AJ24" s="1314">
        <f t="shared" si="3"/>
        <v>0.251913085980284</v>
      </c>
      <c r="AK24" s="1314">
        <f t="shared" si="3"/>
        <v>0.25961343441233975</v>
      </c>
      <c r="AL24" s="1314">
        <f t="shared" si="3"/>
        <v>0.2673137828443955</v>
      </c>
      <c r="AM24" s="1314">
        <f t="shared" si="3"/>
        <v>0.27501413127645125</v>
      </c>
      <c r="AN24" s="1314">
        <f t="shared" si="3"/>
        <v>0.28271447970850699</v>
      </c>
      <c r="AO24" s="1314">
        <f t="shared" si="3"/>
        <v>0.29041482814056274</v>
      </c>
      <c r="AP24" s="1314">
        <f t="shared" si="3"/>
        <v>0.29811517657261849</v>
      </c>
      <c r="AQ24" s="1314">
        <f t="shared" si="3"/>
        <v>0.30581552500467424</v>
      </c>
      <c r="AR24" s="1314">
        <f t="shared" si="3"/>
        <v>0.31351587343672999</v>
      </c>
      <c r="AS24" s="1314">
        <f t="shared" si="3"/>
        <v>0.32121622186878573</v>
      </c>
      <c r="AT24" s="1314">
        <f t="shared" si="3"/>
        <v>0.32891657030084148</v>
      </c>
      <c r="AU24" s="1314">
        <f t="shared" si="3"/>
        <v>0.33661691873289723</v>
      </c>
      <c r="AV24" s="1314">
        <f t="shared" si="3"/>
        <v>0.34431726716495298</v>
      </c>
      <c r="AW24" s="1314">
        <f t="shared" si="3"/>
        <v>0.35201761559700873</v>
      </c>
      <c r="AX24" s="1314">
        <f t="shared" si="3"/>
        <v>0.35971796402906447</v>
      </c>
      <c r="AY24" s="1314">
        <f t="shared" si="3"/>
        <v>0.36741831246112022</v>
      </c>
      <c r="AZ24" s="1314">
        <f t="shared" si="3"/>
        <v>0.37511866089317597</v>
      </c>
      <c r="BA24" s="47"/>
    </row>
    <row r="25" spans="1:53" ht="12" customHeight="1">
      <c r="A25" s="10" t="s">
        <v>132</v>
      </c>
      <c r="B25" s="116">
        <v>22954</v>
      </c>
      <c r="C25" s="116">
        <v>1</v>
      </c>
      <c r="D25" s="114"/>
      <c r="E25" s="114"/>
      <c r="F25" s="774"/>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3"/>
      <c r="X25" s="887">
        <f>($D25*dpsStr+$E25*dpsAgi+$G25*dpsCrit+$H25*dpsHit+$F25*dpsAP+$I25*dpsHaste+$J25*dpsArmor+$K25*dpsExp)+$W25-'Gear &amp; Buffs'!$AF$70</f>
        <v>-316.05070582675194</v>
      </c>
      <c r="Y25" s="887">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4">
        <v>22</v>
      </c>
      <c r="AB25" s="710" t="str">
        <f t="shared" si="1"/>
        <v>(Unmodeled 2)</v>
      </c>
      <c r="AC25" s="1388" t="str">
        <f t="shared" si="0"/>
        <v>Kiss of the Spider</v>
      </c>
      <c r="AE25" s="793"/>
      <c r="AF25" s="1315">
        <f>1-AF24</f>
        <v>0.77888830774793893</v>
      </c>
      <c r="AG25" s="1315">
        <f t="shared" ref="AG25:AZ25" si="4">AF25*(1-AG24)</f>
        <v>0.60066928458713464</v>
      </c>
      <c r="AH25" s="1315">
        <f t="shared" si="4"/>
        <v>0.4586035570207293</v>
      </c>
      <c r="AI25" s="1315">
        <f t="shared" si="4"/>
        <v>0.34660672691134203</v>
      </c>
      <c r="AJ25" s="1315">
        <f t="shared" si="4"/>
        <v>0.2592919567135803</v>
      </c>
      <c r="AK25" s="1315">
        <f t="shared" si="4"/>
        <v>0.19197628131567199</v>
      </c>
      <c r="AL25" s="1315">
        <f t="shared" si="4"/>
        <v>0.14065837534077988</v>
      </c>
      <c r="AM25" s="1315">
        <f t="shared" si="4"/>
        <v>0.10197533443967829</v>
      </c>
      <c r="AN25" s="1315">
        <f t="shared" si="4"/>
        <v>7.3145430820463639E-2</v>
      </c>
      <c r="AO25" s="1315">
        <f t="shared" si="4"/>
        <v>5.1902913099471273E-2</v>
      </c>
      <c r="AP25" s="1315">
        <f t="shared" si="4"/>
        <v>3.6429866996189122E-2</v>
      </c>
      <c r="AQ25" s="1315">
        <f t="shared" si="4"/>
        <v>2.528904809489909E-2</v>
      </c>
      <c r="AR25" s="1315">
        <f t="shared" si="4"/>
        <v>1.7360530093043329E-2</v>
      </c>
      <c r="AS25" s="1315">
        <f t="shared" si="4"/>
        <v>1.1784046206916591E-2</v>
      </c>
      <c r="AT25" s="1315">
        <f t="shared" si="4"/>
        <v>7.9080781442709466E-3</v>
      </c>
      <c r="AU25" s="1315">
        <f t="shared" si="4"/>
        <v>5.2460852462474922E-3</v>
      </c>
      <c r="AV25" s="1315">
        <f t="shared" si="4"/>
        <v>3.4397675109451762E-3</v>
      </c>
      <c r="AW25" s="1315">
        <f t="shared" si="4"/>
        <v>2.2289087535341976E-3</v>
      </c>
      <c r="AX25" s="1315">
        <f t="shared" si="4"/>
        <v>1.4271302347063164E-3</v>
      </c>
      <c r="AY25" s="1315">
        <f t="shared" si="4"/>
        <v>9.0277645220827917E-4</v>
      </c>
      <c r="AZ25" s="1315">
        <f t="shared" si="4"/>
        <v>5.6412815837001719E-4</v>
      </c>
      <c r="BA25" s="1315"/>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3"/>
      <c r="X26" s="887">
        <f>($D26*dpsStr+$E26*dpsAgi+$G26*dpsCrit+$H26*dpsHit+$F26*dpsAP+$I26*dpsHaste+$J26*dpsArmor+$K26*dpsExp)+$W26-'Gear &amp; Buffs'!$AF$70</f>
        <v>-219.55904441595072</v>
      </c>
      <c r="Y26" s="887">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4">
        <v>23</v>
      </c>
      <c r="AB26" s="710" t="str">
        <f t="shared" si="1"/>
        <v/>
      </c>
      <c r="AC26" s="1388" t="str">
        <f t="shared" si="0"/>
        <v>Madness of the Betrayer</v>
      </c>
      <c r="AE26" s="793"/>
      <c r="AF26" s="47"/>
      <c r="AG26" s="1315">
        <f t="shared" ref="AG26:AZ26" si="5">AF25*AG24</f>
        <v>0.17821902316080426</v>
      </c>
      <c r="AH26" s="1315">
        <f t="shared" si="5"/>
        <v>0.14206572756640534</v>
      </c>
      <c r="AI26" s="1315">
        <f t="shared" si="5"/>
        <v>0.1119968301093873</v>
      </c>
      <c r="AJ26" s="1315">
        <f t="shared" si="5"/>
        <v>8.7314770197761724E-2</v>
      </c>
      <c r="AK26" s="1315">
        <f t="shared" si="5"/>
        <v>6.7315675397908309E-2</v>
      </c>
      <c r="AL26" s="1315">
        <f t="shared" si="5"/>
        <v>5.1317905974892122E-2</v>
      </c>
      <c r="AM26" s="1315">
        <f t="shared" si="5"/>
        <v>3.8683040901101591E-2</v>
      </c>
      <c r="AN26" s="1315">
        <f t="shared" si="5"/>
        <v>2.8829903619214645E-2</v>
      </c>
      <c r="AO26" s="1315">
        <f t="shared" si="5"/>
        <v>2.1242517720992369E-2</v>
      </c>
      <c r="AP26" s="1315">
        <f t="shared" si="5"/>
        <v>1.5473046103282153E-2</v>
      </c>
      <c r="AQ26" s="1315">
        <f t="shared" si="5"/>
        <v>1.1140818901290031E-2</v>
      </c>
      <c r="AR26" s="1315">
        <f t="shared" si="5"/>
        <v>7.9285180018557611E-3</v>
      </c>
      <c r="AS26" s="1315">
        <f t="shared" si="5"/>
        <v>5.5764838861267372E-3</v>
      </c>
      <c r="AT26" s="1315">
        <f t="shared" si="5"/>
        <v>3.8759680626456452E-3</v>
      </c>
      <c r="AU26" s="1315">
        <f t="shared" si="5"/>
        <v>2.661992898023454E-3</v>
      </c>
      <c r="AV26" s="1315">
        <f t="shared" si="5"/>
        <v>1.806317735302316E-3</v>
      </c>
      <c r="AW26" s="1315">
        <f t="shared" si="5"/>
        <v>1.2108587574109785E-3</v>
      </c>
      <c r="AX26" s="1315">
        <f t="shared" si="5"/>
        <v>8.0177851882788143E-4</v>
      </c>
      <c r="AY26" s="1315">
        <f t="shared" si="5"/>
        <v>5.2435378249803726E-4</v>
      </c>
      <c r="AZ26" s="1315">
        <f t="shared" si="5"/>
        <v>3.3864829383826198E-4</v>
      </c>
      <c r="BA26" s="1315">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3"/>
      <c r="X27" s="887">
        <f>($D27*dpsStr+$E27*dpsAgi+$G27*dpsCrit+$H27*dpsHit+$F27*dpsAP+$I27*dpsHaste+$J27*dpsArmor+$K27*dpsExp)+$W27-'Gear &amp; Buffs'!$AF$70</f>
        <v>-327.55266489688188</v>
      </c>
      <c r="Y27" s="887">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4">
        <v>24</v>
      </c>
      <c r="AB27" s="710" t="str">
        <f t="shared" si="1"/>
        <v/>
      </c>
      <c r="AC27" s="1388" t="str">
        <f t="shared" si="0"/>
        <v>Mark of the Champion</v>
      </c>
      <c r="AE27" s="793"/>
      <c r="AF27" s="774"/>
      <c r="AG27" s="774">
        <f t="shared" ref="AG27:AZ27" si="6">17*AG22</f>
        <v>17</v>
      </c>
      <c r="AH27" s="774">
        <f t="shared" si="6"/>
        <v>34</v>
      </c>
      <c r="AI27" s="774">
        <f t="shared" si="6"/>
        <v>51</v>
      </c>
      <c r="AJ27" s="774">
        <f t="shared" si="6"/>
        <v>68</v>
      </c>
      <c r="AK27" s="774">
        <f t="shared" si="6"/>
        <v>85</v>
      </c>
      <c r="AL27" s="774">
        <f t="shared" si="6"/>
        <v>102</v>
      </c>
      <c r="AM27" s="774">
        <f t="shared" si="6"/>
        <v>119</v>
      </c>
      <c r="AN27" s="774">
        <f t="shared" si="6"/>
        <v>136</v>
      </c>
      <c r="AO27" s="774">
        <f t="shared" si="6"/>
        <v>153</v>
      </c>
      <c r="AP27" s="774">
        <f t="shared" si="6"/>
        <v>170</v>
      </c>
      <c r="AQ27" s="774">
        <f t="shared" si="6"/>
        <v>187</v>
      </c>
      <c r="AR27" s="774">
        <f t="shared" si="6"/>
        <v>204</v>
      </c>
      <c r="AS27" s="774">
        <f t="shared" si="6"/>
        <v>221</v>
      </c>
      <c r="AT27" s="774">
        <f t="shared" si="6"/>
        <v>238</v>
      </c>
      <c r="AU27" s="774">
        <f t="shared" si="6"/>
        <v>255</v>
      </c>
      <c r="AV27" s="774">
        <f t="shared" si="6"/>
        <v>272</v>
      </c>
      <c r="AW27" s="774">
        <f t="shared" si="6"/>
        <v>289</v>
      </c>
      <c r="AX27" s="774">
        <f t="shared" si="6"/>
        <v>306</v>
      </c>
      <c r="AY27" s="774">
        <f t="shared" si="6"/>
        <v>323</v>
      </c>
      <c r="AZ27" s="774">
        <f t="shared" si="6"/>
        <v>340</v>
      </c>
      <c r="BA27" s="1316"/>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3"/>
      <c r="X28" s="887">
        <f>($D28*dpsStr+$E28*dpsAgi+$G28*dpsCrit+$H28*dpsHit+$F28*dpsAP+$I28*dpsHaste+$J28*dpsArmor+$K28*dpsExp)+$W28-'Gear &amp; Buffs'!$AF$70</f>
        <v>-364.00032753410846</v>
      </c>
      <c r="Y28" s="887">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4">
        <v>25</v>
      </c>
      <c r="AB28" s="710" t="str">
        <f t="shared" si="1"/>
        <v/>
      </c>
      <c r="AC28" s="1388" t="str">
        <f t="shared" si="0"/>
        <v>Ogre Mauler's Badge</v>
      </c>
      <c r="AE28" s="793" t="s">
        <v>916</v>
      </c>
      <c r="AF28" s="1317">
        <f>SUM(AG28:AZ28)</f>
        <v>52.775681323559951</v>
      </c>
      <c r="AG28" s="1318">
        <f t="shared" ref="AG28:AZ28" si="7">AG27*AG26</f>
        <v>3.0297233937336725</v>
      </c>
      <c r="AH28" s="1318">
        <f t="shared" si="7"/>
        <v>4.8302347372577819</v>
      </c>
      <c r="AI28" s="1318">
        <f t="shared" si="7"/>
        <v>5.7118383355787525</v>
      </c>
      <c r="AJ28" s="1318">
        <f t="shared" si="7"/>
        <v>5.937404373447797</v>
      </c>
      <c r="AK28" s="1318">
        <f t="shared" si="7"/>
        <v>5.7218324088222063</v>
      </c>
      <c r="AL28" s="1318">
        <f t="shared" si="7"/>
        <v>5.2344264094389965</v>
      </c>
      <c r="AM28" s="1318">
        <f t="shared" si="7"/>
        <v>4.6032818672310896</v>
      </c>
      <c r="AN28" s="1318">
        <f t="shared" si="7"/>
        <v>3.920866892213192</v>
      </c>
      <c r="AO28" s="1318">
        <f t="shared" si="7"/>
        <v>3.2501052113118325</v>
      </c>
      <c r="AP28" s="1318">
        <f t="shared" si="7"/>
        <v>2.6304178375579661</v>
      </c>
      <c r="AQ28" s="1318">
        <f t="shared" si="7"/>
        <v>2.0833331345412356</v>
      </c>
      <c r="AR28" s="1318">
        <f t="shared" si="7"/>
        <v>1.6174176723785751</v>
      </c>
      <c r="AS28" s="1318">
        <f t="shared" si="7"/>
        <v>1.232402938834009</v>
      </c>
      <c r="AT28" s="1318">
        <f t="shared" si="7"/>
        <v>0.9224803989096636</v>
      </c>
      <c r="AU28" s="1318">
        <f t="shared" si="7"/>
        <v>0.67880818899598072</v>
      </c>
      <c r="AV28" s="1318">
        <f t="shared" si="7"/>
        <v>0.49131842400222997</v>
      </c>
      <c r="AW28" s="1318">
        <f t="shared" si="7"/>
        <v>0.34993818089177281</v>
      </c>
      <c r="AX28" s="1318">
        <f t="shared" si="7"/>
        <v>0.24534422676133172</v>
      </c>
      <c r="AY28" s="1318">
        <f t="shared" si="7"/>
        <v>0.16936627174686603</v>
      </c>
      <c r="AZ28" s="1318">
        <f t="shared" si="7"/>
        <v>0.11514041990500908</v>
      </c>
      <c r="BA28" s="47"/>
    </row>
    <row r="29" spans="1:53" ht="12" customHeight="1">
      <c r="A29" s="47" t="s">
        <v>138</v>
      </c>
      <c r="B29" s="116">
        <v>28579</v>
      </c>
      <c r="C29" s="116">
        <v>1</v>
      </c>
      <c r="D29" s="47"/>
      <c r="E29" s="47"/>
      <c r="F29" s="774"/>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87">
        <f>($D29*dpsStr+$E29*dpsAgi+$G29*dpsCrit+$H29*dpsHit+$F29*dpsAP+$I29*dpsHaste+$J29*dpsArmor+$K29*dpsExp)+$W29-'Gear &amp; Buffs'!$AF$70</f>
        <v>-173.27749361171183</v>
      </c>
      <c r="Y29" s="887">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4">
        <v>26</v>
      </c>
      <c r="AB29" s="710" t="str">
        <f t="shared" si="1"/>
        <v/>
      </c>
      <c r="AC29" s="1388" t="str">
        <f t="shared" si="0"/>
        <v>Romulo's Poison Vial</v>
      </c>
      <c r="AE29" s="793" t="s">
        <v>917</v>
      </c>
      <c r="AF29" s="793">
        <f>IF(OR(trinket1="Darkmoon Card: Wrath",trinket2="Darkmoon Card: Wrath"),AF28/crrate/100,0)</f>
        <v>0</v>
      </c>
      <c r="AG29" s="793"/>
      <c r="AH29" s="793"/>
      <c r="AI29" s="793"/>
      <c r="AJ29" s="793"/>
      <c r="AK29" s="793"/>
      <c r="AL29" s="793"/>
      <c r="AM29" s="793"/>
      <c r="AN29" s="793"/>
      <c r="AO29" s="793"/>
      <c r="AP29" s="793"/>
      <c r="AQ29" s="793"/>
      <c r="AR29" s="793"/>
      <c r="AS29" s="793"/>
      <c r="AT29" s="793"/>
      <c r="AU29" s="793"/>
      <c r="AV29" s="793"/>
      <c r="AW29" s="793"/>
      <c r="AX29" s="793"/>
      <c r="AY29" s="793"/>
      <c r="AZ29" s="793"/>
      <c r="BA29" s="793"/>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3"/>
      <c r="X30" s="887">
        <f>($D30*dpsStr+$E30*dpsAgi+$G30*dpsCrit+$H30*dpsHit+$F30*dpsAP+$I30*dpsHaste+$J30*dpsArmor+$K30*dpsExp)+$W30-'Gear &amp; Buffs'!$AF$70</f>
        <v>-352.2084366808881</v>
      </c>
      <c r="Y30" s="887">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4">
        <v>27</v>
      </c>
      <c r="AB30" s="710" t="str">
        <f t="shared" si="1"/>
        <v/>
      </c>
      <c r="AC30" s="1388"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3"/>
      <c r="X31" s="887">
        <f>($D31*dpsStr+$E31*dpsAgi+$G31*dpsCrit+$H31*dpsHit+$F31*dpsAP+$I31*dpsHaste+$J31*dpsArmor+$K31*dpsExp)+$W31-'Gear &amp; Buffs'!$AF$70</f>
        <v>-296.0398184132589</v>
      </c>
      <c r="Y31" s="887">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4">
        <v>28</v>
      </c>
      <c r="AB31" s="710" t="str">
        <f t="shared" si="1"/>
        <v/>
      </c>
      <c r="AC31" s="1388"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3"/>
      <c r="X32" s="887">
        <f>($D32*dpsStr+$E32*dpsAgi+$G32*dpsCrit+$H32*dpsHit+$F32*dpsAP+$I32*dpsHaste+$J32*dpsArmor+$K32*dpsExp)+$W32-'Gear &amp; Buffs'!$AF$70</f>
        <v>-358.28304712042586</v>
      </c>
      <c r="Y32" s="887">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4">
        <v>29</v>
      </c>
      <c r="AB32" s="710" t="str">
        <f t="shared" si="1"/>
        <v/>
      </c>
      <c r="AC32" s="1388"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3"/>
      <c r="X33" s="887">
        <f>($D33*dpsStr+$E33*dpsAgi+$G33*dpsCrit+$H33*dpsHit+$F33*dpsAP+$I33*dpsHaste+$J33*dpsArmor+$K33*dpsExp)+$W33-'Gear &amp; Buffs'!$AF$70</f>
        <v>-317.50722087336612</v>
      </c>
      <c r="Y33" s="887">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4">
        <v>30</v>
      </c>
      <c r="AB33" s="710" t="str">
        <f t="shared" si="1"/>
        <v/>
      </c>
      <c r="AC33" s="1388"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3"/>
      <c r="X34" s="887">
        <f>($D34*dpsStr+$E34*dpsAgi+$G34*dpsCrit+$H34*dpsHit+$F34*dpsAP+$I34*dpsHaste+$J34*dpsArmor+$K34*dpsExp)+$W34-'Gear &amp; Buffs'!$AF$70</f>
        <v>-259.05147649835885</v>
      </c>
      <c r="Y34" s="887">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4">
        <v>31</v>
      </c>
      <c r="AB34" s="710" t="str">
        <f t="shared" si="1"/>
        <v/>
      </c>
      <c r="AC34" s="1388"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3"/>
      <c r="X35" s="887">
        <f>($D35*dpsStr+$E35*dpsAgi+$G35*dpsCrit+$H35*dpsHit+$F35*dpsAP+$I35*dpsHaste+$J35*dpsArmor+$K35*dpsExp)+$W35-'Gear &amp; Buffs'!$AF$70</f>
        <v>-280.45142913659242</v>
      </c>
      <c r="Y35" s="887">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4">
        <v>32</v>
      </c>
      <c r="AB35" s="710" t="str">
        <f t="shared" si="1"/>
        <v/>
      </c>
      <c r="AC35" s="1388"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3"/>
      <c r="X36" s="887">
        <f>($D36*dpsStr+$E36*dpsAgi+$G36*dpsCrit+$H36*dpsHit+$F36*dpsAP+$I36*dpsHaste+$J36*dpsArmor+$K36*dpsExp)+$W36-'Gear &amp; Buffs'!$AF$70</f>
        <v>-364.00032753410846</v>
      </c>
      <c r="Y36" s="887">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4">
        <v>33</v>
      </c>
      <c r="AB36" s="710" t="str">
        <f t="shared" si="1"/>
        <v/>
      </c>
      <c r="AC36" s="1388"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3"/>
      <c r="X37" s="887">
        <f>($D37*dpsStr+$E37*dpsAgi+$G37*dpsCrit+$H37*dpsHit+$F37*dpsAP+$I37*dpsHaste+$J37*dpsArmor+$K37*dpsExp)+$W37-'Gear &amp; Buffs'!$AF$70</f>
        <v>-219.32626321036039</v>
      </c>
      <c r="Y37" s="887">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4">
        <v>34</v>
      </c>
      <c r="AB37" s="710" t="str">
        <f t="shared" si="1"/>
        <v/>
      </c>
      <c r="AC37" s="1388"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6">
        <f>'Gear &amp; Buffs'!$S$168</f>
        <v>0</v>
      </c>
      <c r="S38" s="114"/>
      <c r="T38" s="10"/>
      <c r="U38" s="114"/>
      <c r="V38" s="116" t="s">
        <v>1108</v>
      </c>
      <c r="W38" s="114"/>
      <c r="X38" s="887">
        <f>($D38*dpsStr+$E38*dpsAgi+$G38*dpsCrit+$H38*dpsHit+$F38*dpsAP+$I38*dpsHaste+$J38*dpsArmor+$K38*dpsExp)+$W38-'Gear &amp; Buffs'!$AF$70</f>
        <v>-381.15216877515627</v>
      </c>
      <c r="Y38" s="887">
        <f>($D38*dpsStr+$E38*dpsAgi+$G38*dpsCrit+$H38*dpsHit+$F38*dpsAP+$I38*dpsHaste+$J38*dpsArmor+$K38*dpsExp)+$W38-'Gear &amp; Buffs'!$AF$71</f>
        <v>-25.727761861571707</v>
      </c>
      <c r="Z38" s="114">
        <f>MAX($Z$1:$Z37)+1</f>
        <v>21</v>
      </c>
      <c r="AA38" s="734">
        <v>35</v>
      </c>
      <c r="AB38" s="710"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6">
        <f>'Gear &amp; Buffs'!$S$169</f>
        <v>0</v>
      </c>
      <c r="S39" s="114"/>
      <c r="T39" s="10"/>
      <c r="U39" s="114"/>
      <c r="V39" s="116" t="s">
        <v>1108</v>
      </c>
      <c r="W39" s="114"/>
      <c r="X39" s="887">
        <f>($D39*dpsStr+$E39*dpsAgi+$G39*dpsCrit+$H39*dpsHit+$F39*dpsAP+$I39*dpsHaste+$J39*dpsArmor+$K39*dpsExp)+$W39-'Gear &amp; Buffs'!$AF$70</f>
        <v>-381.15216877515627</v>
      </c>
      <c r="Y39" s="887">
        <f>($D39*dpsStr+$E39*dpsAgi+$G39*dpsCrit+$H39*dpsHit+$F39*dpsAP+$I39*dpsHaste+$J39*dpsArmor+$K39*dpsExp)+$W39-'Gear &amp; Buffs'!$AF$71</f>
        <v>-25.727761861571707</v>
      </c>
      <c r="Z39" s="114">
        <f>MAX($Z$1:$Z38)+1</f>
        <v>22</v>
      </c>
      <c r="AA39" s="734">
        <v>36</v>
      </c>
      <c r="AB39" s="710"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87"/>
      <c r="Y40" s="887"/>
      <c r="Z40" s="114"/>
      <c r="AA40" s="734">
        <v>37</v>
      </c>
      <c r="AB40" s="710"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6"/>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6"/>
      <c r="V45" s="124"/>
    </row>
    <row r="46" spans="1:53" ht="12" customHeight="1">
      <c r="A46" s="129"/>
      <c r="B46" s="124"/>
      <c r="C46" s="129"/>
      <c r="D46" s="129"/>
      <c r="E46" s="129"/>
      <c r="S46" s="48"/>
      <c r="T46" s="847"/>
      <c r="V46" s="124"/>
      <c r="AB46" s="208"/>
      <c r="AF46" s="1319" t="s">
        <v>1656</v>
      </c>
      <c r="AJ46" s="128"/>
    </row>
    <row r="47" spans="1:53" ht="12" customHeight="1">
      <c r="A47" s="129"/>
      <c r="B47" s="124"/>
      <c r="C47" s="129"/>
      <c r="D47" s="129"/>
      <c r="E47" s="129"/>
      <c r="S47" s="48"/>
      <c r="T47" s="847"/>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47"/>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47"/>
      <c r="U49" s="48"/>
      <c r="W49" s="48"/>
      <c r="X49" s="48"/>
      <c r="Y49" s="48"/>
    </row>
    <row r="50" spans="1:25" ht="12" customHeight="1">
      <c r="A50" s="129"/>
      <c r="B50" s="124"/>
      <c r="C50" s="129"/>
      <c r="D50" s="129"/>
      <c r="E50" s="129"/>
      <c r="S50" s="48"/>
      <c r="T50" s="847"/>
      <c r="U50" s="48"/>
      <c r="W50" s="48"/>
      <c r="X50" s="48"/>
      <c r="Y50" s="48"/>
    </row>
    <row r="51" spans="1:25" ht="12" customHeight="1">
      <c r="A51" s="129"/>
      <c r="B51" s="124"/>
      <c r="C51" s="129"/>
      <c r="D51" s="129"/>
      <c r="E51" s="129"/>
      <c r="S51" s="48"/>
      <c r="T51" s="847"/>
      <c r="U51" s="48"/>
      <c r="W51" s="48"/>
      <c r="X51" s="48"/>
      <c r="Y51" s="48"/>
    </row>
    <row r="52" spans="1:25" ht="12" customHeight="1">
      <c r="A52" s="129"/>
      <c r="B52" s="124"/>
      <c r="C52" s="129"/>
      <c r="D52" s="129"/>
      <c r="E52" s="129"/>
      <c r="S52" s="48"/>
      <c r="T52" s="847"/>
      <c r="U52" s="48"/>
      <c r="W52" s="48"/>
      <c r="X52" s="48"/>
      <c r="Y52" s="48"/>
    </row>
    <row r="53" spans="1:25" ht="12" customHeight="1">
      <c r="A53" s="129"/>
      <c r="B53" s="124"/>
      <c r="C53" s="129"/>
      <c r="D53" s="129"/>
      <c r="E53" s="129"/>
      <c r="S53" s="48"/>
      <c r="T53" s="847"/>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5" t="s">
        <v>164</v>
      </c>
      <c r="B1" s="775" t="s">
        <v>1933</v>
      </c>
      <c r="C1" s="700" t="s">
        <v>2795</v>
      </c>
      <c r="D1" s="775" t="s">
        <v>1213</v>
      </c>
      <c r="E1" s="775" t="s">
        <v>1214</v>
      </c>
      <c r="F1" s="775" t="s">
        <v>767</v>
      </c>
      <c r="G1" s="775" t="s">
        <v>2139</v>
      </c>
      <c r="H1" s="775" t="s">
        <v>2138</v>
      </c>
      <c r="I1" s="775" t="s">
        <v>770</v>
      </c>
      <c r="J1" s="775" t="s">
        <v>1218</v>
      </c>
      <c r="K1" s="775" t="s">
        <v>759</v>
      </c>
      <c r="L1" s="775" t="s">
        <v>1215</v>
      </c>
      <c r="M1" s="775" t="s">
        <v>264</v>
      </c>
      <c r="N1" s="775" t="s">
        <v>1216</v>
      </c>
      <c r="O1" s="775" t="s">
        <v>1286</v>
      </c>
      <c r="P1" s="775"/>
      <c r="Q1" s="775" t="s">
        <v>1031</v>
      </c>
      <c r="R1" s="775" t="s">
        <v>1940</v>
      </c>
      <c r="S1" s="775" t="s">
        <v>665</v>
      </c>
      <c r="T1" s="775" t="s">
        <v>265</v>
      </c>
      <c r="U1" s="775"/>
      <c r="V1" s="700">
        <v>0</v>
      </c>
      <c r="W1" s="700"/>
      <c r="X1" s="775"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3">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6">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4"/>
      <c r="X2" s="710" t="s">
        <v>1688</v>
      </c>
      <c r="Y2" s="1388"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6">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4"/>
      <c r="X3" s="710" t="str">
        <f>" "</f>
        <v xml:space="preserve"> </v>
      </c>
      <c r="Y3" s="1388"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6"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IF(ISNA(INDEX($A$2:$A$51,MATCH(W4,V$2:V$51,0))), "", INDEX($A$2:$A$51,MATCH(W4,V$2:V$51,0)))</f>
        <v>Adamantine Repeater</v>
      </c>
      <c r="Y4" s="1388"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6"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53" si="1">IF(ISNA(INDEX($A$2:$A$51,MATCH(W5,V$2:V$51,0))), "", INDEX($A$2:$A$51,MATCH(W5,V$2:V$51,0)))</f>
        <v>Adamantite Rifle</v>
      </c>
      <c r="Y5" s="1388"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6">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Barrel-Blade Longrifle</v>
      </c>
      <c r="Y6" s="1388"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6"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Bloodwarder's Rifle</v>
      </c>
      <c r="Y7" s="1388"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6">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Coilfang Needler</v>
      </c>
      <c r="Y8" s="1388"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6"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4">
        <v>6</v>
      </c>
      <c r="X9" s="710" t="str">
        <f t="shared" si="1"/>
        <v>Consortium Blaster</v>
      </c>
      <c r="Y9" s="1388"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6"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Emberhawk Crossbow</v>
      </c>
      <c r="Y10" s="1388"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6">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4">
        <v>8</v>
      </c>
      <c r="X11" s="710" t="str">
        <f t="shared" si="1"/>
        <v>Felsteel Whisper Knives</v>
      </c>
      <c r="Y11" s="1388"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6">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4">
        <v>9</v>
      </c>
      <c r="X12" s="710" t="str">
        <f t="shared" si="1"/>
        <v>Fitz's Throwing Axe</v>
      </c>
      <c r="Y12" s="1388"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6"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Gladiator's War Edge</v>
      </c>
      <c r="Y13" s="1388"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6"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4">
        <v>11</v>
      </c>
      <c r="X14" s="710" t="str">
        <f t="shared" si="1"/>
        <v>Hemet's Elekk Gun</v>
      </c>
      <c r="Y14" s="1388"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6"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Lohn'goron, Bow of the Torn-heart</v>
      </c>
      <c r="Y15" s="1388"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6">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4">
        <v>13</v>
      </c>
      <c r="X16" s="710" t="str">
        <f t="shared" si="1"/>
        <v>Mama's Insurance</v>
      </c>
      <c r="Y16" s="1388"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6">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4">
        <v>14</v>
      </c>
      <c r="X17" s="710" t="str">
        <f t="shared" si="1"/>
        <v>Mark V's Throwing Star</v>
      </c>
      <c r="Y17" s="1388"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6">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4">
        <v>15</v>
      </c>
      <c r="X18" s="710" t="str">
        <f t="shared" si="1"/>
        <v>Marksman's Bow</v>
      </c>
      <c r="Y18" s="1388"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6">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4">
        <v>16</v>
      </c>
      <c r="X19" s="710" t="str">
        <f t="shared" si="1"/>
        <v>Needle Shrike</v>
      </c>
      <c r="Y19" s="1388"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6"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Nerubian Slavemaker</v>
      </c>
      <c r="Y20" s="1388"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6">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4">
        <v>18</v>
      </c>
      <c r="X21" s="710" t="str">
        <f t="shared" si="1"/>
        <v>Ornate Khorium Rifle</v>
      </c>
      <c r="Y21" s="1388"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6"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Sethekk Feather-Darts</v>
      </c>
      <c r="Y22" s="1388"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6">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4">
        <v>20</v>
      </c>
      <c r="X23" s="710" t="str">
        <f t="shared" si="1"/>
        <v>Shuriken of Negation</v>
      </c>
      <c r="Y23" s="1388"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6">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4">
        <v>21</v>
      </c>
      <c r="X24" s="710" t="str">
        <f t="shared" si="1"/>
        <v>Skyfire Hawk-Bow</v>
      </c>
      <c r="Y24" s="1388"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6">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4">
        <v>22</v>
      </c>
      <c r="X25" s="710" t="str">
        <f t="shared" si="1"/>
        <v>Spinesever</v>
      </c>
      <c r="Y25" s="1388"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6">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4">
        <v>23</v>
      </c>
      <c r="X26" s="710" t="str">
        <f t="shared" si="1"/>
        <v>Steelhawk Crossbow</v>
      </c>
      <c r="Y26" s="1388"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6"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Striker's Mark</v>
      </c>
      <c r="Y27" s="1388"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6">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4">
        <v>25</v>
      </c>
      <c r="X28" s="710" t="str">
        <f t="shared" si="1"/>
        <v>Sunfury Bow of the Phoenix</v>
      </c>
      <c r="Y28" s="1388"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6">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4">
        <v>26</v>
      </c>
      <c r="X29" s="710" t="str">
        <f t="shared" si="1"/>
        <v>Telescopic Sharprifle</v>
      </c>
      <c r="Y29" s="1388"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6"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Veteran's Musket</v>
      </c>
      <c r="Y30" s="1388"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6">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4">
        <v>28</v>
      </c>
      <c r="X31" s="710" t="str">
        <f t="shared" si="1"/>
        <v>Wolfslayer Sniper Rifle</v>
      </c>
      <c r="Y31" s="1388"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6"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Wrathfire Hand-Cannon</v>
      </c>
      <c r="Y32" s="1388"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6"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Wrathtide Longbow</v>
      </c>
      <c r="Y33" s="1388"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6">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4">
        <v>31</v>
      </c>
      <c r="X34" s="710" t="str">
        <f t="shared" si="1"/>
        <v>Xavian Stiletto</v>
      </c>
      <c r="Y34" s="1388"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6">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4">
        <v>32</v>
      </c>
      <c r="X35" s="710" t="str">
        <f t="shared" si="1"/>
        <v>(Unmodeled)</v>
      </c>
      <c r="Y35" s="1388"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6">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4">
        <v>33</v>
      </c>
      <c r="X36" s="710" t="str">
        <f t="shared" si="1"/>
        <v/>
      </c>
      <c r="Y36" s="1388"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6">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4">
        <v>34</v>
      </c>
      <c r="X37" s="710" t="str">
        <f t="shared" si="1"/>
        <v/>
      </c>
      <c r="Y37" s="1388"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6">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4">
        <v>35</v>
      </c>
      <c r="X38" s="710" t="str">
        <f t="shared" si="1"/>
        <v/>
      </c>
      <c r="Y38" s="1388"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6">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4">
        <v>36</v>
      </c>
      <c r="X39" s="710" t="str">
        <f t="shared" si="1"/>
        <v/>
      </c>
      <c r="Y39" s="1388"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6">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4">
        <v>37</v>
      </c>
      <c r="X40" s="710" t="str">
        <f t="shared" si="1"/>
        <v/>
      </c>
      <c r="Y40" s="1388"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6">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4">
        <v>38</v>
      </c>
      <c r="X41" s="710" t="str">
        <f t="shared" si="1"/>
        <v/>
      </c>
      <c r="Y41" s="1388"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6"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4">
        <v>39</v>
      </c>
      <c r="X42" s="710" t="str">
        <f t="shared" si="1"/>
        <v/>
      </c>
      <c r="Y42" s="1388"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6"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4">
        <v>40</v>
      </c>
      <c r="X43" s="710" t="str">
        <f t="shared" si="1"/>
        <v/>
      </c>
      <c r="Y43" s="1388"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6"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4">
        <v>41</v>
      </c>
      <c r="X44" s="710" t="str">
        <f t="shared" si="1"/>
        <v/>
      </c>
      <c r="Y44" s="1388"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6"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4">
        <v>42</v>
      </c>
      <c r="X45" s="710" t="str">
        <f t="shared" si="1"/>
        <v/>
      </c>
      <c r="Y45" s="1388"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6">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4">
        <v>43</v>
      </c>
      <c r="X46" s="710" t="str">
        <f t="shared" si="1"/>
        <v/>
      </c>
      <c r="Y46" s="1388"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6">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4">
        <v>44</v>
      </c>
      <c r="X47" s="710" t="str">
        <f t="shared" si="1"/>
        <v/>
      </c>
      <c r="Y47" s="1388"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6">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4">
        <v>45</v>
      </c>
      <c r="X48" s="710" t="str">
        <f t="shared" si="1"/>
        <v/>
      </c>
      <c r="Y48" s="1388"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6">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4">
        <v>46</v>
      </c>
      <c r="X49" s="710" t="str">
        <f t="shared" si="1"/>
        <v/>
      </c>
      <c r="Y49" s="1388"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6">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4">
        <v>47</v>
      </c>
      <c r="X50" s="710" t="str">
        <f t="shared" si="1"/>
        <v/>
      </c>
      <c r="Y50" s="1388"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6">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6">
        <f>MAX($V$1:V50)+1</f>
        <v>32</v>
      </c>
      <c r="W51" s="734">
        <v>48</v>
      </c>
      <c r="X51" s="710"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4">
        <v>49</v>
      </c>
      <c r="X52" s="710"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4">
        <v>50</v>
      </c>
      <c r="X53" s="710"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2"/>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6" t="s">
        <v>164</v>
      </c>
      <c r="B1" s="816" t="s">
        <v>1933</v>
      </c>
      <c r="C1" s="816" t="s">
        <v>2795</v>
      </c>
      <c r="D1" s="816" t="s">
        <v>1213</v>
      </c>
      <c r="E1" s="816" t="s">
        <v>1214</v>
      </c>
      <c r="F1" s="816" t="s">
        <v>767</v>
      </c>
      <c r="G1" s="817" t="s">
        <v>2139</v>
      </c>
      <c r="H1" s="817" t="s">
        <v>2138</v>
      </c>
      <c r="I1" s="818" t="s">
        <v>770</v>
      </c>
      <c r="J1" s="819" t="s">
        <v>1738</v>
      </c>
      <c r="K1" s="817" t="s">
        <v>759</v>
      </c>
      <c r="L1" s="816" t="s">
        <v>1215</v>
      </c>
      <c r="M1" s="817" t="s">
        <v>264</v>
      </c>
      <c r="N1" s="817" t="s">
        <v>1216</v>
      </c>
      <c r="O1" s="817" t="s">
        <v>1286</v>
      </c>
      <c r="P1" s="816" t="s">
        <v>1220</v>
      </c>
      <c r="Q1" s="820" t="s">
        <v>1031</v>
      </c>
      <c r="R1" s="820" t="s">
        <v>1940</v>
      </c>
      <c r="S1" s="816" t="s">
        <v>665</v>
      </c>
      <c r="T1" s="821" t="s">
        <v>1221</v>
      </c>
      <c r="U1" s="817" t="s">
        <v>1222</v>
      </c>
      <c r="V1" s="821" t="s">
        <v>1704</v>
      </c>
      <c r="W1" s="821" t="s">
        <v>146</v>
      </c>
      <c r="X1" s="816" t="s">
        <v>1537</v>
      </c>
      <c r="Y1" s="816" t="s">
        <v>1224</v>
      </c>
      <c r="Z1" s="816" t="s">
        <v>563</v>
      </c>
      <c r="AA1" s="816" t="s">
        <v>564</v>
      </c>
      <c r="AB1" s="816" t="s">
        <v>565</v>
      </c>
      <c r="AC1" s="822" t="s">
        <v>566</v>
      </c>
      <c r="AD1" s="821"/>
      <c r="AE1" s="823">
        <v>0</v>
      </c>
      <c r="AF1" s="868">
        <v>0</v>
      </c>
      <c r="AG1" s="868"/>
    </row>
    <row r="2" spans="1:48" ht="12" thickBot="1">
      <c r="A2" s="824" t="s">
        <v>2056</v>
      </c>
      <c r="B2" s="825"/>
      <c r="C2" s="825"/>
      <c r="D2" s="740"/>
      <c r="E2" s="740"/>
      <c r="F2" s="740"/>
      <c r="G2" s="740"/>
      <c r="H2" s="740"/>
      <c r="I2" s="826"/>
      <c r="J2" s="740"/>
      <c r="K2" s="825"/>
      <c r="L2" s="740"/>
      <c r="M2" s="825"/>
      <c r="N2" s="740"/>
      <c r="O2" s="825"/>
      <c r="P2" s="740"/>
      <c r="Q2" s="740" t="s">
        <v>1032</v>
      </c>
      <c r="R2" s="740"/>
      <c r="S2" s="740"/>
      <c r="T2" s="827"/>
      <c r="U2" s="825"/>
      <c r="V2" s="827"/>
      <c r="W2" s="827"/>
      <c r="X2" s="740"/>
      <c r="Y2" s="740"/>
      <c r="Z2" s="740"/>
      <c r="AA2" s="740"/>
      <c r="AB2" s="740"/>
      <c r="AC2" s="828"/>
      <c r="AD2" s="827"/>
      <c r="AE2" s="740">
        <v>1</v>
      </c>
      <c r="AF2" s="114">
        <f>MAX(AF$1:AF1)+1</f>
        <v>1</v>
      </c>
      <c r="AG2" s="114"/>
      <c r="AH2" s="1386"/>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6"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6"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6"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3"/>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87"/>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6"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3"/>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87"/>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6"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3"/>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87"/>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6"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3"/>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87"/>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6"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6"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6"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6"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6"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6"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6"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6"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6"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6"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6"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0"/>
      <c r="AR19" s="1320"/>
      <c r="AS19" s="1320"/>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6"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0"/>
      <c r="AR20" s="1326" t="s">
        <v>921</v>
      </c>
      <c r="AS20" s="1320"/>
      <c r="AT20" s="1320"/>
      <c r="AU20" s="1320"/>
      <c r="AV20" s="1320"/>
      <c r="AW20" s="1320" t="s">
        <v>1025</v>
      </c>
      <c r="AX20" s="1320" t="s">
        <v>1646</v>
      </c>
      <c r="AY20" s="1320" t="s">
        <v>1647</v>
      </c>
      <c r="AZ20" s="1320"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6"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4" t="s">
        <v>923</v>
      </c>
      <c r="AR21" s="1323">
        <f>IF(mh="The Night Blade",Optimize!C46,IF(oh="The Night Blade",Optimize!C47,10))</f>
        <v>10</v>
      </c>
      <c r="AS21" s="1320"/>
      <c r="AT21" s="1320" t="s">
        <v>924</v>
      </c>
      <c r="AU21" s="1320"/>
      <c r="AV21" s="1320">
        <v>0</v>
      </c>
      <c r="AW21" s="1321">
        <f>10/($AR$24)</f>
        <v>16.666666666666664</v>
      </c>
      <c r="AX21" s="1322">
        <v>1</v>
      </c>
      <c r="AY21" s="1321">
        <v>0</v>
      </c>
      <c r="AZ21" s="1322">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6"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4"/>
      <c r="AR22" s="1323"/>
      <c r="AS22" s="1320"/>
      <c r="AT22" s="1320" t="s">
        <v>925</v>
      </c>
      <c r="AU22" s="1320"/>
      <c r="AV22" s="1320">
        <v>1</v>
      </c>
      <c r="AW22" s="1321">
        <f>10/(1+$AR$24/(1-EXP(-$AR$24)))</f>
        <v>4.2921742610378759</v>
      </c>
      <c r="AX22" s="1322">
        <f>1-EXP(-$AR$21*tnbproc)</f>
        <v>0.45118836390597361</v>
      </c>
      <c r="AY22" s="1321">
        <v>10</v>
      </c>
      <c r="AZ22" s="1322">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6"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4" t="s">
        <v>3010</v>
      </c>
      <c r="AR23" s="1322">
        <f>1.8/60*2</f>
        <v>6.0000000000000005E-2</v>
      </c>
      <c r="AS23" s="1320"/>
      <c r="AT23" s="1320" t="s">
        <v>926</v>
      </c>
      <c r="AU23" s="1320"/>
      <c r="AV23" s="1320">
        <v>2</v>
      </c>
      <c r="AW23" s="1321">
        <f>10/(1+$AR$24/(1-EXP(-$AR$24)))</f>
        <v>4.2921742610378759</v>
      </c>
      <c r="AX23" s="1322">
        <f>(1-EXP(-$AR$21*tnbproc))^2</f>
        <v>0.20357093972414927</v>
      </c>
      <c r="AY23" s="1321">
        <v>10</v>
      </c>
      <c r="AZ23" s="1322">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6"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4" t="s">
        <v>1643</v>
      </c>
      <c r="AR24" s="1323">
        <f>IF($AR$21*tnbproc&gt;0, $AR$21*tnbproc, 1)</f>
        <v>0.60000000000000009</v>
      </c>
      <c r="AS24" s="1320"/>
      <c r="AT24" s="1320" t="s">
        <v>927</v>
      </c>
      <c r="AU24" s="1320"/>
      <c r="AV24" s="1320">
        <v>3</v>
      </c>
      <c r="AW24" s="1321">
        <f>IF(time=0, AW23/EXP(-$AR$21*tnbproc), MIN(AW23/EXP(-$AR$21*tnbproc),time-SUMPRODUCT(AW21:AW23,AX21:AX23)))</f>
        <v>7.8208514155893543</v>
      </c>
      <c r="AX24" s="1322">
        <f>AX23</f>
        <v>0.20357093972414927</v>
      </c>
      <c r="AY24" s="1321">
        <v>0</v>
      </c>
      <c r="AZ24" s="1322">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6"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4" t="s">
        <v>928</v>
      </c>
      <c r="AR25" s="1323">
        <f>(Cycles!$I$1)*0.3</f>
        <v>0.77354193647919856</v>
      </c>
      <c r="AS25" s="1320"/>
      <c r="AT25" s="1320"/>
      <c r="AU25" s="1320"/>
      <c r="AV25" s="1320"/>
      <c r="AW25" s="1321">
        <f>SUMPRODUCT(AX21:AX24,AW21:AW24)</f>
        <v>21.069105768997428</v>
      </c>
      <c r="AX25" s="1320"/>
      <c r="AY25" s="1321">
        <f>SUMPRODUCT(AZ21:AZ24,AY21:AY24)</f>
        <v>7.9642906027585081</v>
      </c>
      <c r="AZ25" s="1320"/>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6"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0"/>
      <c r="AR26" s="1320"/>
      <c r="AS26" s="1320"/>
      <c r="AT26" s="1320"/>
      <c r="AU26" s="1320"/>
      <c r="AV26" s="1320"/>
      <c r="AW26" s="1321">
        <f>SUMPRODUCT(AX21:AX24,AW21:AW24,$AV21:$AV24)</f>
        <v>8.460397194338988</v>
      </c>
      <c r="AX26" s="1320"/>
      <c r="AY26" s="1321">
        <f>SUMPRODUCT(AZ21:AZ24,AY21:AY24,$AV21:$AV24)</f>
        <v>10.440464844576752</v>
      </c>
      <c r="AZ26" s="1320"/>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6"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5"/>
      <c r="AR27" s="1325"/>
      <c r="AS27" s="1325"/>
      <c r="AT27" s="1320"/>
      <c r="AU27" s="1320"/>
      <c r="AV27" s="1320"/>
      <c r="AW27" s="1320"/>
      <c r="AX27" s="1321">
        <f>IF(OR(mh="The Night Blade",oh="The Night Blade"),(AW26+AY26)/(AW25+AY25),0)</f>
        <v>0</v>
      </c>
      <c r="AY27" s="1320"/>
      <c r="AZ27" s="1320"/>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6"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27" t="s">
        <v>1398</v>
      </c>
      <c r="AS28" s="1354">
        <f>75%/(BossLevel)*5/25</f>
        <v>2.054794520547945E-3</v>
      </c>
      <c r="AT28" s="1325"/>
      <c r="AU28" s="1325"/>
      <c r="AV28" s="1325"/>
      <c r="AW28" s="1325"/>
      <c r="AX28" s="1325"/>
      <c r="AY28" s="1325"/>
      <c r="AZ28" s="1325"/>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6"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6"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6"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09"/>
      <c r="AR31" s="810" t="s">
        <v>2271</v>
      </c>
      <c r="AS31" s="811"/>
      <c r="AT31" s="811"/>
      <c r="AU31" s="811"/>
      <c r="AV31" s="812"/>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6"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4"/>
      <c r="AR32" s="133"/>
      <c r="AS32" s="130" t="s">
        <v>3109</v>
      </c>
      <c r="AT32" s="114"/>
      <c r="AU32" s="114"/>
      <c r="AV32" s="803"/>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6"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0" t="s">
        <v>2281</v>
      </c>
      <c r="AR33" s="156">
        <f>'Damage Calc'!F25</f>
        <v>0.98</v>
      </c>
      <c r="AS33" s="10" t="s">
        <v>2274</v>
      </c>
      <c r="AT33" s="124">
        <f>VLOOKUP('Gear &amp; Buffs'!$B$10,MHWeaponStats,28,FALSE)</f>
        <v>0</v>
      </c>
      <c r="AU33" s="784" t="s">
        <v>2275</v>
      </c>
      <c r="AV33" s="801">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6"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0" t="s">
        <v>2282</v>
      </c>
      <c r="AR34" s="156">
        <f>(IF(instatk="bs",-impBS*AR33,0)+'Damage Calc'!$F$23)</f>
        <v>0.21668945840701978</v>
      </c>
      <c r="AS34" s="10" t="s">
        <v>2277</v>
      </c>
      <c r="AT34" s="124">
        <f>IF(AT33&gt;0,VLOOKUP('Gear &amp; Buffs'!$B$10,MHWeaponStats,26,FALSE),0)</f>
        <v>0</v>
      </c>
      <c r="AU34" s="10"/>
      <c r="AV34" s="801">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6"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5"/>
      <c r="AR35" s="1356"/>
      <c r="AS35" s="10"/>
      <c r="AT35" s="124"/>
      <c r="AU35" s="10"/>
      <c r="AV35" s="801"/>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6"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5"/>
      <c r="AR36" s="1356"/>
      <c r="AS36" s="10" t="s">
        <v>2279</v>
      </c>
      <c r="AT36" s="124">
        <f>IF(AT33&gt;0,VLOOKUP('Gear &amp; Buffs'!$B$10,MHWeaponStats,27,FALSE),1)</f>
        <v>1</v>
      </c>
      <c r="AU36" s="10"/>
      <c r="AV36" s="801">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6"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5"/>
      <c r="AR37" s="1356"/>
      <c r="AS37" s="10"/>
      <c r="AT37" s="124"/>
      <c r="AU37" s="10"/>
      <c r="AV37" s="801"/>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6"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5"/>
      <c r="AR38" s="1356"/>
      <c r="AS38" s="10"/>
      <c r="AT38" s="124"/>
      <c r="AU38" s="10"/>
      <c r="AV38" s="801"/>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6"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4" t="s">
        <v>2055</v>
      </c>
      <c r="AR39" s="114"/>
      <c r="AS39" s="10" t="s">
        <v>2283</v>
      </c>
      <c r="AT39" s="124">
        <f>'Damage Calc'!K48*'Damage Calc'!L48*$AT36*$AT34</f>
        <v>0</v>
      </c>
      <c r="AU39" s="10"/>
      <c r="AV39" s="802">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6"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4">
        <v>1</v>
      </c>
      <c r="AR40" s="10" t="s">
        <v>2267</v>
      </c>
      <c r="AS40" s="10" t="s">
        <v>442</v>
      </c>
      <c r="AT40" s="114">
        <f>IF(AT33=1,AT39*($AR33+$AR34)*armor,0)</f>
        <v>0</v>
      </c>
      <c r="AU40" s="10"/>
      <c r="AV40" s="803">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6"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4">
        <v>2</v>
      </c>
      <c r="AR41" s="10" t="s">
        <v>2269</v>
      </c>
      <c r="AS41" s="10" t="s">
        <v>443</v>
      </c>
      <c r="AT41" s="114">
        <f>IF(AT33=2,AT39*($AR$33),0)</f>
        <v>0</v>
      </c>
      <c r="AU41" s="10"/>
      <c r="AV41" s="803">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6"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4">
        <v>3</v>
      </c>
      <c r="AR42" s="10" t="s">
        <v>2272</v>
      </c>
      <c r="AS42" s="10" t="s">
        <v>445</v>
      </c>
      <c r="AT42" s="114">
        <f>IF(AT33=3,AT39*(fullresist),0)</f>
        <v>0</v>
      </c>
      <c r="AU42" s="10"/>
      <c r="AV42" s="803">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6"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4">
        <v>4</v>
      </c>
      <c r="AR43" s="10" t="s">
        <v>2273</v>
      </c>
      <c r="AS43" s="10" t="s">
        <v>448</v>
      </c>
      <c r="AT43" s="114">
        <f>IF(AT33=4,(AT39+'Damage Calc'!K49*'Damage Calc'!L49*AT36*AT34)*fullresist,0)</f>
        <v>0</v>
      </c>
      <c r="AU43" s="10"/>
      <c r="AV43" s="803">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6"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4">
        <v>5</v>
      </c>
      <c r="AR44" s="10" t="s">
        <v>2276</v>
      </c>
      <c r="AS44" s="10" t="s">
        <v>1735</v>
      </c>
      <c r="AT44" s="114">
        <f>IF(AT33=5,(AT39)*fullresist,0)</f>
        <v>0</v>
      </c>
      <c r="AU44" s="10"/>
      <c r="AV44" s="803">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6"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5"/>
      <c r="AR45" s="806"/>
      <c r="AS45" s="806"/>
      <c r="AT45" s="806">
        <f>SUM(AT40:AT44)</f>
        <v>0</v>
      </c>
      <c r="AU45" s="807"/>
      <c r="AV45" s="808">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6"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6"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6"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6"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3"/>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87"/>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6"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6"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6"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6"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3" t="str">
        <f>" "</f>
        <v xml:space="preserve"> </v>
      </c>
      <c r="B55" s="829"/>
      <c r="C55" s="829"/>
      <c r="D55" s="823"/>
      <c r="E55" s="823"/>
      <c r="F55" s="823"/>
      <c r="G55" s="823"/>
      <c r="H55" s="823"/>
      <c r="I55" s="830"/>
      <c r="J55" s="823"/>
      <c r="K55" s="829"/>
      <c r="L55" s="823"/>
      <c r="M55" s="829"/>
      <c r="N55" s="823"/>
      <c r="O55" s="829"/>
      <c r="P55" s="823"/>
      <c r="Q55" s="823" t="s">
        <v>1032</v>
      </c>
      <c r="R55" s="823"/>
      <c r="S55" s="823"/>
      <c r="T55" s="823"/>
      <c r="U55" s="829"/>
      <c r="V55" s="823"/>
      <c r="W55" s="823"/>
      <c r="X55" s="823"/>
      <c r="Y55" s="823"/>
      <c r="Z55" s="823"/>
      <c r="AA55" s="823"/>
      <c r="AB55" s="823"/>
      <c r="AC55" s="831"/>
      <c r="AD55" s="832"/>
      <c r="AE55" s="823"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3" t="s">
        <v>1375</v>
      </c>
      <c r="B56" s="739"/>
      <c r="C56" s="739"/>
      <c r="D56" s="739"/>
      <c r="E56" s="739"/>
      <c r="F56" s="739"/>
      <c r="G56" s="739"/>
      <c r="H56" s="739"/>
      <c r="I56" s="834"/>
      <c r="J56" s="739"/>
      <c r="K56" s="739"/>
      <c r="L56" s="739"/>
      <c r="M56" s="739"/>
      <c r="N56" s="739"/>
      <c r="O56" s="739"/>
      <c r="P56" s="833"/>
      <c r="Q56" s="739" t="s">
        <v>1032</v>
      </c>
      <c r="R56" s="739"/>
      <c r="S56" s="739"/>
      <c r="T56" s="739"/>
      <c r="U56" s="739"/>
      <c r="V56" s="739"/>
      <c r="W56" s="739"/>
      <c r="X56" s="739"/>
      <c r="Y56" s="739"/>
      <c r="Z56" s="739"/>
      <c r="AA56" s="739"/>
      <c r="AB56" s="739"/>
      <c r="AC56" s="833"/>
      <c r="AD56" s="739"/>
      <c r="AE56" s="739">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6"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6"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6"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6"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6"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6"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3"/>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87"/>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6"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6"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6"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6"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6"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6"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6"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6"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6"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6"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6"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6"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6"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6"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6"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6"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6"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6"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6"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6"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6"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6"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6"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6"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6"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6"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6"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6"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6"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6"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6"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6"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3"/>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87"/>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6"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6"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6"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6"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6"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6">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3" t="str">
        <f>" "</f>
        <v xml:space="preserve"> </v>
      </c>
      <c r="B101" s="829"/>
      <c r="C101" s="829"/>
      <c r="D101" s="823"/>
      <c r="E101" s="823"/>
      <c r="F101" s="823"/>
      <c r="G101" s="823"/>
      <c r="H101" s="823"/>
      <c r="I101" s="830"/>
      <c r="J101" s="823"/>
      <c r="K101" s="829"/>
      <c r="L101" s="823"/>
      <c r="M101" s="829"/>
      <c r="N101" s="823"/>
      <c r="O101" s="829"/>
      <c r="P101" s="823"/>
      <c r="Q101" s="823" t="s">
        <v>1032</v>
      </c>
      <c r="R101" s="823"/>
      <c r="S101" s="823"/>
      <c r="T101" s="823"/>
      <c r="U101" s="829"/>
      <c r="V101" s="823"/>
      <c r="W101" s="823"/>
      <c r="X101" s="823"/>
      <c r="Y101" s="823"/>
      <c r="Z101" s="823"/>
      <c r="AA101" s="823"/>
      <c r="AB101" s="823"/>
      <c r="AC101" s="831"/>
      <c r="AD101" s="832"/>
      <c r="AE101" s="823"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3" t="s">
        <v>5</v>
      </c>
      <c r="B102" s="835"/>
      <c r="C102" s="835"/>
      <c r="D102" s="739"/>
      <c r="E102" s="739"/>
      <c r="F102" s="739"/>
      <c r="G102" s="834"/>
      <c r="H102" s="834"/>
      <c r="I102" s="834"/>
      <c r="J102" s="739"/>
      <c r="K102" s="835"/>
      <c r="L102" s="739"/>
      <c r="M102" s="835"/>
      <c r="N102" s="739"/>
      <c r="O102" s="835"/>
      <c r="P102" s="739"/>
      <c r="Q102" s="739" t="s">
        <v>1032</v>
      </c>
      <c r="R102" s="739"/>
      <c r="S102" s="739"/>
      <c r="T102" s="739"/>
      <c r="U102" s="835"/>
      <c r="V102" s="836"/>
      <c r="W102" s="739"/>
      <c r="X102" s="837"/>
      <c r="Y102" s="834" t="s">
        <v>6</v>
      </c>
      <c r="Z102" s="739"/>
      <c r="AA102" s="739"/>
      <c r="AB102" s="739"/>
      <c r="AC102" s="838"/>
      <c r="AD102" s="834"/>
      <c r="AE102" s="739">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6"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3"/>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87"/>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6"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6"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6"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6"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6"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6"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6"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6"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6"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6"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6"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6"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6"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3"/>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87"/>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6"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4">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87"/>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6"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6">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87"/>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3" t="str">
        <f>" "</f>
        <v xml:space="preserve"> </v>
      </c>
      <c r="B120" s="829"/>
      <c r="C120" s="829"/>
      <c r="D120" s="823"/>
      <c r="E120" s="823"/>
      <c r="F120" s="823"/>
      <c r="G120" s="823"/>
      <c r="H120" s="823"/>
      <c r="I120" s="830"/>
      <c r="J120" s="823"/>
      <c r="K120" s="829"/>
      <c r="L120" s="823"/>
      <c r="M120" s="829"/>
      <c r="N120" s="823"/>
      <c r="O120" s="829"/>
      <c r="P120" s="823"/>
      <c r="Q120" s="823" t="s">
        <v>1032</v>
      </c>
      <c r="R120" s="823"/>
      <c r="S120" s="823"/>
      <c r="T120" s="823"/>
      <c r="U120" s="829"/>
      <c r="V120" s="823"/>
      <c r="W120" s="823"/>
      <c r="X120" s="823"/>
      <c r="Y120" s="823"/>
      <c r="Z120" s="823"/>
      <c r="AA120" s="823"/>
      <c r="AB120" s="823"/>
      <c r="AC120" s="831"/>
      <c r="AD120" s="832"/>
      <c r="AE120" s="823"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3" t="s">
        <v>909</v>
      </c>
      <c r="B121" s="835"/>
      <c r="C121" s="835"/>
      <c r="D121" s="739"/>
      <c r="E121" s="739"/>
      <c r="F121" s="739"/>
      <c r="G121" s="834"/>
      <c r="H121" s="834"/>
      <c r="I121" s="834"/>
      <c r="J121" s="739"/>
      <c r="K121" s="835"/>
      <c r="L121" s="739"/>
      <c r="M121" s="835"/>
      <c r="N121" s="739"/>
      <c r="O121" s="835"/>
      <c r="P121" s="739"/>
      <c r="Q121" s="739" t="s">
        <v>1032</v>
      </c>
      <c r="R121" s="739"/>
      <c r="S121" s="739"/>
      <c r="T121" s="739"/>
      <c r="U121" s="835"/>
      <c r="V121" s="836"/>
      <c r="W121" s="739"/>
      <c r="X121" s="837"/>
      <c r="Y121" s="834"/>
      <c r="Z121" s="739"/>
      <c r="AA121" s="739"/>
      <c r="AB121" s="739"/>
      <c r="AC121" s="838"/>
      <c r="AD121" s="834"/>
      <c r="AE121" s="739">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6"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6"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6"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3"/>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87"/>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6"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6"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6"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6"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3"/>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87"/>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6"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3"/>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87"/>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6"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3"/>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87"/>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6"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3"/>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87"/>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6"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3"/>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87"/>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6"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3"/>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87"/>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6"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3"/>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87"/>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6"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6"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6"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3"/>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87"/>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6"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87"/>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6"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3"/>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87"/>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6"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3"/>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87"/>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6"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3"/>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87"/>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6"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3"/>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87"/>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6"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3"/>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87"/>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6"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3"/>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87"/>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6"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3"/>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87"/>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6"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3"/>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87"/>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6"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6">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87"/>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3" t="str">
        <f>" "</f>
        <v xml:space="preserve"> </v>
      </c>
      <c r="B149" s="829"/>
      <c r="C149" s="829"/>
      <c r="D149" s="823"/>
      <c r="E149" s="823"/>
      <c r="F149" s="823"/>
      <c r="G149" s="839"/>
      <c r="H149" s="839"/>
      <c r="I149" s="830"/>
      <c r="J149" s="823"/>
      <c r="K149" s="829"/>
      <c r="L149" s="823"/>
      <c r="M149" s="829"/>
      <c r="N149" s="823"/>
      <c r="O149" s="829"/>
      <c r="P149" s="823"/>
      <c r="Q149" s="823"/>
      <c r="R149" s="823"/>
      <c r="S149" s="823"/>
      <c r="T149" s="823"/>
      <c r="U149" s="829"/>
      <c r="V149" s="823"/>
      <c r="W149" s="823"/>
      <c r="X149" s="823"/>
      <c r="Y149" s="823"/>
      <c r="Z149" s="823"/>
      <c r="AA149" s="823"/>
      <c r="AB149" s="823"/>
      <c r="AC149" s="831"/>
      <c r="AD149" s="832"/>
      <c r="AE149" s="823"/>
      <c r="AF149" s="823"/>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49" t="s">
        <v>1739</v>
      </c>
      <c r="B150" s="749" t="s">
        <v>1933</v>
      </c>
      <c r="C150" s="749" t="s">
        <v>2795</v>
      </c>
      <c r="D150" s="749" t="s">
        <v>1213</v>
      </c>
      <c r="E150" s="749" t="s">
        <v>1214</v>
      </c>
      <c r="F150" s="749" t="s">
        <v>767</v>
      </c>
      <c r="G150" s="750" t="s">
        <v>2139</v>
      </c>
      <c r="H150" s="750" t="s">
        <v>2138</v>
      </c>
      <c r="I150" s="813" t="s">
        <v>770</v>
      </c>
      <c r="J150" s="814" t="s">
        <v>1738</v>
      </c>
      <c r="K150" s="750" t="s">
        <v>759</v>
      </c>
      <c r="L150" s="749" t="s">
        <v>1215</v>
      </c>
      <c r="M150" s="750" t="s">
        <v>264</v>
      </c>
      <c r="N150" s="750" t="s">
        <v>1216</v>
      </c>
      <c r="O150" s="750" t="s">
        <v>1286</v>
      </c>
      <c r="P150" s="749" t="s">
        <v>1220</v>
      </c>
      <c r="Q150" s="727" t="s">
        <v>1031</v>
      </c>
      <c r="R150" s="727" t="s">
        <v>1940</v>
      </c>
      <c r="S150" s="749" t="s">
        <v>665</v>
      </c>
      <c r="T150" s="815" t="s">
        <v>1221</v>
      </c>
      <c r="U150" s="750" t="s">
        <v>1222</v>
      </c>
      <c r="V150" s="815" t="s">
        <v>1704</v>
      </c>
      <c r="W150" s="815" t="s">
        <v>146</v>
      </c>
      <c r="X150" s="749" t="s">
        <v>1537</v>
      </c>
      <c r="Y150" s="749" t="s">
        <v>1224</v>
      </c>
      <c r="Z150" s="749" t="s">
        <v>563</v>
      </c>
      <c r="AA150" s="749" t="s">
        <v>564</v>
      </c>
      <c r="AB150" s="749" t="s">
        <v>565</v>
      </c>
      <c r="AC150" s="736" t="s">
        <v>566</v>
      </c>
      <c r="AD150" s="815"/>
      <c r="AE150" s="740">
        <v>0</v>
      </c>
      <c r="AF150" s="740">
        <v>0</v>
      </c>
      <c r="AG150" s="114"/>
    </row>
    <row r="151" spans="1:48" ht="12" thickBot="1">
      <c r="A151" s="833" t="s">
        <v>2056</v>
      </c>
      <c r="B151" s="835"/>
      <c r="C151" s="835"/>
      <c r="D151" s="739"/>
      <c r="E151" s="739"/>
      <c r="F151" s="739"/>
      <c r="G151" s="739"/>
      <c r="H151" s="739"/>
      <c r="I151" s="834"/>
      <c r="J151" s="739"/>
      <c r="K151" s="835"/>
      <c r="L151" s="739"/>
      <c r="M151" s="835"/>
      <c r="N151" s="739"/>
      <c r="O151" s="835"/>
      <c r="P151" s="739"/>
      <c r="Q151" s="739" t="s">
        <v>1032</v>
      </c>
      <c r="R151" s="739"/>
      <c r="S151" s="739"/>
      <c r="T151" s="837"/>
      <c r="U151" s="835"/>
      <c r="V151" s="837"/>
      <c r="W151" s="837"/>
      <c r="X151" s="739"/>
      <c r="Y151" s="739"/>
      <c r="Z151" s="739"/>
      <c r="AA151" s="739"/>
      <c r="AB151" s="739"/>
      <c r="AC151" s="838"/>
      <c r="AD151" s="837"/>
      <c r="AE151" s="739">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6"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6"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6"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3"/>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87"/>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6"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3"/>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87"/>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6"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3"/>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87"/>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6"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3"/>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87"/>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6"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3"/>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87"/>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6"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3"/>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87"/>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6"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6"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6"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6"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6"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6"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6"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6"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6"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6"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6"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6"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6"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6"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6"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6"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6"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6"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6"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6"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6"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6"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6"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6"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6"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6"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6"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6"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6"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6"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6"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6"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6"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6"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6"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6"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6"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6"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6"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6"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6"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6"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6"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6"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3"/>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87"/>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6"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3"/>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87"/>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6"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3"/>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87"/>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6"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6"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6"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6"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6">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0" t="str">
        <f>" "</f>
        <v xml:space="preserve"> </v>
      </c>
      <c r="B211" s="829"/>
      <c r="C211" s="829"/>
      <c r="D211" s="823"/>
      <c r="E211" s="823"/>
      <c r="F211" s="823"/>
      <c r="G211" s="839"/>
      <c r="H211" s="839"/>
      <c r="I211" s="839"/>
      <c r="J211" s="823"/>
      <c r="K211" s="829"/>
      <c r="L211" s="823"/>
      <c r="M211" s="829"/>
      <c r="N211" s="823"/>
      <c r="O211" s="829"/>
      <c r="P211" s="823"/>
      <c r="Q211" s="823" t="s">
        <v>1032</v>
      </c>
      <c r="R211" s="823"/>
      <c r="S211" s="823"/>
      <c r="T211" s="823"/>
      <c r="U211" s="829"/>
      <c r="V211" s="841"/>
      <c r="W211" s="823"/>
      <c r="X211" s="842"/>
      <c r="Y211" s="823"/>
      <c r="Z211" s="823"/>
      <c r="AA211" s="823"/>
      <c r="AB211" s="823"/>
      <c r="AC211" s="831"/>
      <c r="AD211" s="823"/>
      <c r="AE211" s="823"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3" t="s">
        <v>1375</v>
      </c>
      <c r="B212" s="835"/>
      <c r="C212" s="835"/>
      <c r="D212" s="739"/>
      <c r="E212" s="739"/>
      <c r="F212" s="739"/>
      <c r="G212" s="834"/>
      <c r="H212" s="834"/>
      <c r="I212" s="834"/>
      <c r="J212" s="739"/>
      <c r="K212" s="835"/>
      <c r="L212" s="739"/>
      <c r="M212" s="835"/>
      <c r="N212" s="739"/>
      <c r="O212" s="835"/>
      <c r="P212" s="739"/>
      <c r="Q212" s="739" t="s">
        <v>1032</v>
      </c>
      <c r="R212" s="739"/>
      <c r="S212" s="739"/>
      <c r="T212" s="739"/>
      <c r="U212" s="835"/>
      <c r="V212" s="836"/>
      <c r="W212" s="739"/>
      <c r="X212" s="837"/>
      <c r="Y212" s="834"/>
      <c r="Z212" s="739"/>
      <c r="AA212" s="739"/>
      <c r="AB212" s="739"/>
      <c r="AC212" s="838"/>
      <c r="AD212" s="834"/>
      <c r="AE212" s="739">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6"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6"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6"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6"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6"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6"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3"/>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87"/>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6"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3"/>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87"/>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6"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6"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6"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6"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6"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6"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6"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6"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6"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6"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6"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6"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6"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6"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6"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6"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6"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6"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6"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6"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6"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6"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6"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6"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6"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6"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6"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6"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6"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6"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6"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6"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6"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6"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3"/>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87"/>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6"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3"/>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87"/>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6"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6"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6"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6"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6"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6">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3" t="str">
        <f>" "</f>
        <v xml:space="preserve"> </v>
      </c>
      <c r="B261" s="829"/>
      <c r="C261" s="829"/>
      <c r="D261" s="823"/>
      <c r="E261" s="823"/>
      <c r="F261" s="823"/>
      <c r="G261" s="823"/>
      <c r="H261" s="823"/>
      <c r="I261" s="830"/>
      <c r="J261" s="823"/>
      <c r="K261" s="829"/>
      <c r="L261" s="823"/>
      <c r="M261" s="829"/>
      <c r="N261" s="823"/>
      <c r="O261" s="829"/>
      <c r="P261" s="823"/>
      <c r="Q261" s="823" t="s">
        <v>1032</v>
      </c>
      <c r="R261" s="823"/>
      <c r="S261" s="823"/>
      <c r="T261" s="823"/>
      <c r="U261" s="829"/>
      <c r="V261" s="823"/>
      <c r="W261" s="823"/>
      <c r="X261" s="823"/>
      <c r="Y261" s="823"/>
      <c r="Z261" s="823"/>
      <c r="AA261" s="823"/>
      <c r="AB261" s="823"/>
      <c r="AC261" s="831"/>
      <c r="AD261" s="832"/>
      <c r="AE261" s="823"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3" t="s">
        <v>5</v>
      </c>
      <c r="B262" s="835"/>
      <c r="C262" s="835"/>
      <c r="D262" s="739"/>
      <c r="E262" s="739"/>
      <c r="F262" s="739"/>
      <c r="G262" s="834"/>
      <c r="H262" s="834"/>
      <c r="I262" s="834"/>
      <c r="J262" s="739"/>
      <c r="K262" s="835"/>
      <c r="L262" s="739"/>
      <c r="M262" s="835"/>
      <c r="N262" s="739"/>
      <c r="O262" s="835"/>
      <c r="P262" s="739"/>
      <c r="Q262" s="739" t="s">
        <v>1032</v>
      </c>
      <c r="R262" s="739"/>
      <c r="S262" s="739"/>
      <c r="T262" s="739"/>
      <c r="U262" s="835"/>
      <c r="V262" s="836"/>
      <c r="W262" s="739"/>
      <c r="X262" s="837"/>
      <c r="Y262" s="834"/>
      <c r="Z262" s="739"/>
      <c r="AA262" s="739"/>
      <c r="AB262" s="739"/>
      <c r="AC262" s="838"/>
      <c r="AD262" s="834"/>
      <c r="AE262" s="739">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6"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3"/>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87"/>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6"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3"/>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87"/>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6"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6"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6"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6"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6"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6"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6"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6"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6"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6"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6"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6"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3"/>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87"/>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6"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3"/>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87"/>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6"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4">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87"/>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6"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4">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87"/>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6"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6">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87"/>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3" t="str">
        <f>" "</f>
        <v xml:space="preserve"> </v>
      </c>
      <c r="B282" s="829"/>
      <c r="C282" s="829"/>
      <c r="D282" s="823"/>
      <c r="E282" s="823"/>
      <c r="F282" s="823"/>
      <c r="G282" s="823"/>
      <c r="H282" s="823"/>
      <c r="I282" s="830"/>
      <c r="J282" s="823"/>
      <c r="K282" s="829"/>
      <c r="L282" s="823"/>
      <c r="M282" s="829"/>
      <c r="N282" s="823"/>
      <c r="O282" s="829"/>
      <c r="P282" s="823"/>
      <c r="Q282" s="823" t="s">
        <v>1032</v>
      </c>
      <c r="R282" s="823"/>
      <c r="S282" s="823"/>
      <c r="T282" s="823"/>
      <c r="U282" s="829"/>
      <c r="V282" s="823"/>
      <c r="W282" s="823"/>
      <c r="X282" s="823"/>
      <c r="Y282" s="823"/>
      <c r="Z282" s="823"/>
      <c r="AA282" s="823"/>
      <c r="AB282" s="823"/>
      <c r="AC282" s="831"/>
      <c r="AD282" s="832"/>
      <c r="AE282" s="823"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3" t="s">
        <v>909</v>
      </c>
      <c r="B283" s="835"/>
      <c r="C283" s="835"/>
      <c r="D283" s="739"/>
      <c r="E283" s="739"/>
      <c r="F283" s="739"/>
      <c r="G283" s="834"/>
      <c r="H283" s="834"/>
      <c r="I283" s="834"/>
      <c r="J283" s="739"/>
      <c r="K283" s="835"/>
      <c r="L283" s="739"/>
      <c r="M283" s="835"/>
      <c r="N283" s="739"/>
      <c r="O283" s="835"/>
      <c r="P283" s="739"/>
      <c r="Q283" s="739" t="s">
        <v>1032</v>
      </c>
      <c r="R283" s="739"/>
      <c r="S283" s="739"/>
      <c r="T283" s="739"/>
      <c r="U283" s="835"/>
      <c r="V283" s="836"/>
      <c r="W283" s="739"/>
      <c r="X283" s="837"/>
      <c r="Y283" s="834"/>
      <c r="Z283" s="739"/>
      <c r="AA283" s="739"/>
      <c r="AB283" s="739"/>
      <c r="AC283" s="833"/>
      <c r="AD283" s="834"/>
      <c r="AE283" s="739">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6"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6"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6"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3"/>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87"/>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6"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3"/>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87"/>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6"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3"/>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87"/>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6"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3"/>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87"/>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6"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3"/>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87"/>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6"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3"/>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87"/>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6"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3"/>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87"/>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6"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3"/>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87"/>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6"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3"/>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87"/>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6"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6"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6"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6"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3"/>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87"/>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6"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87"/>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6"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3"/>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87"/>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6"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3"/>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87"/>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6"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3"/>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87"/>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6"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3"/>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87"/>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6"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3"/>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87"/>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6"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3"/>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87"/>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6"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3"/>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87"/>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6"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3"/>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87"/>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6"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3"/>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87"/>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6"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6">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87"/>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election activeCell="Q37" sqref="Q37"/>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2"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6" t="s">
        <v>164</v>
      </c>
      <c r="B1" s="797" t="s">
        <v>2795</v>
      </c>
      <c r="C1" s="797" t="s">
        <v>1213</v>
      </c>
      <c r="D1" s="797" t="s">
        <v>1214</v>
      </c>
      <c r="E1" s="797" t="s">
        <v>1215</v>
      </c>
      <c r="F1" s="797" t="s">
        <v>2139</v>
      </c>
      <c r="G1" s="797" t="s">
        <v>2138</v>
      </c>
      <c r="H1" s="797" t="s">
        <v>767</v>
      </c>
      <c r="I1" s="797" t="s">
        <v>1218</v>
      </c>
      <c r="J1" s="797" t="s">
        <v>770</v>
      </c>
      <c r="K1" s="797" t="s">
        <v>1221</v>
      </c>
      <c r="L1" s="797" t="s">
        <v>1222</v>
      </c>
      <c r="M1" s="797" t="s">
        <v>1704</v>
      </c>
      <c r="N1" s="797" t="s">
        <v>1933</v>
      </c>
      <c r="O1" s="797" t="s">
        <v>1224</v>
      </c>
      <c r="P1" s="797" t="s">
        <v>1225</v>
      </c>
      <c r="Q1" s="797" t="s">
        <v>147</v>
      </c>
      <c r="R1" s="797">
        <v>0</v>
      </c>
      <c r="S1" s="798"/>
      <c r="T1" s="799"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5"/>
      <c r="L2" s="765"/>
      <c r="M2" s="782"/>
      <c r="N2" s="783"/>
      <c r="O2" s="114" t="s">
        <v>1973</v>
      </c>
      <c r="P2" s="124"/>
      <c r="Q2" s="789"/>
      <c r="R2" s="788"/>
      <c r="S2" s="747"/>
      <c r="T2" s="710"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5"/>
      <c r="L3" s="765"/>
      <c r="M3" s="782"/>
      <c r="N3" s="783">
        <v>2564</v>
      </c>
      <c r="O3" s="114" t="s">
        <v>1973</v>
      </c>
      <c r="P3" s="124"/>
      <c r="Q3" s="790"/>
      <c r="R3" s="116">
        <f>IF(OR(IF(includep1,$B3&lt;=1), IF(includep2,$B3&lt;=2), IF(includep3,$B3&lt;=3), IF(includep4,$B3&lt;=4), IF(includep5,$B3&lt;=5)),MAX($R$1:R2)+1,"")</f>
        <v>1</v>
      </c>
      <c r="S3" s="747">
        <v>1</v>
      </c>
      <c r="T3" s="710"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5"/>
      <c r="L4" s="765"/>
      <c r="M4" s="782"/>
      <c r="N4" s="783">
        <v>1900</v>
      </c>
      <c r="O4" s="114" t="s">
        <v>1973</v>
      </c>
      <c r="P4" s="124"/>
      <c r="Q4" s="790"/>
      <c r="R4" s="116">
        <f>IF(OR(IF(includep1,$B4&lt;=1), IF(includep2,$B4&lt;=2), IF(includep3,$B4&lt;=3), IF(includep4,$B4&lt;=4), IF(includep5,$B4&lt;=5)),MAX($R$1:R3)+1,"")</f>
        <v>2</v>
      </c>
      <c r="S4" s="747">
        <v>2</v>
      </c>
      <c r="T4" s="710"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5"/>
      <c r="L5" s="765"/>
      <c r="M5" s="782"/>
      <c r="N5" s="783">
        <v>912</v>
      </c>
      <c r="O5" s="114" t="s">
        <v>1973</v>
      </c>
      <c r="P5" s="124"/>
      <c r="Q5" s="790">
        <f>'Damage Calc'!I48*'Damage Calc'!L48*3*IF(CharLevel&gt;60,(CharLevel-60)*2/30,0)*$AA$2*100</f>
        <v>9.2727113732776534</v>
      </c>
      <c r="R5" s="116">
        <f>IF(OR(IF(includep1,$B5&lt;=1), IF(includep2,$B5&lt;=2), IF(includep3,$B5&lt;=3), IF(includep4,$B5&lt;=4), IF(includep5,$B5&lt;=5)),MAX($R$1:R4)+1,"")</f>
        <v>3</v>
      </c>
      <c r="S5" s="747">
        <v>3</v>
      </c>
      <c r="T5" s="710" t="str">
        <f t="shared" si="0"/>
        <v>Demonslaying</v>
      </c>
      <c r="U5" s="124"/>
      <c r="W5" s="6" t="s">
        <v>1278</v>
      </c>
      <c r="X5" s="1342">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5"/>
      <c r="L6" s="765"/>
      <c r="M6" s="782"/>
      <c r="N6" s="783">
        <v>3225</v>
      </c>
      <c r="O6" s="114" t="s">
        <v>1973</v>
      </c>
      <c r="P6" s="124"/>
      <c r="Q6" s="790"/>
      <c r="R6" s="116" t="str">
        <f>IF(OR(IF(includep1,$B6&lt;=1), IF(includep2,$B6&lt;=2), IF(includep3,$B6&lt;=3), IF(includep4,$B6&lt;=4), IF(includep5,$B6&lt;=5)),MAX($R$1:R5)+1,"")</f>
        <v/>
      </c>
      <c r="S6" s="747">
        <v>4</v>
      </c>
      <c r="T6" s="710" t="str">
        <f t="shared" si="0"/>
        <v>Fiery Weapon</v>
      </c>
      <c r="U6" s="124"/>
      <c r="V6" s="6"/>
      <c r="W6" s="791"/>
      <c r="X6" s="791">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5"/>
      <c r="L7" s="765"/>
      <c r="M7" s="782"/>
      <c r="N7" s="783">
        <v>803</v>
      </c>
      <c r="O7" s="114" t="s">
        <v>1973</v>
      </c>
      <c r="P7" s="124"/>
      <c r="Q7" s="790">
        <f>'Damage Calc'!I48*'Damage Calc'!L48*6*IF(CharLevel&gt;60,(CharLevel-60)*2/30,0)*$AA$2*40*(1+(0.01*miseryimp)*misery)*IF(CoE,1.25,1)</f>
        <v>9.7363469419415356</v>
      </c>
      <c r="R7" s="116">
        <f>IF(OR(IF(includep1,$B7&lt;=1), IF(includep2,$B7&lt;=2), IF(includep3,$B7&lt;=3), IF(includep4,$B7&lt;=4), IF(includep5,$B7&lt;=5)),MAX($R$1:R6)+1,"")</f>
        <v>4</v>
      </c>
      <c r="S7" s="747">
        <v>5</v>
      </c>
      <c r="T7" s="710"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5"/>
      <c r="L8" s="765"/>
      <c r="M8" s="782"/>
      <c r="N8" s="783">
        <v>3222</v>
      </c>
      <c r="O8" s="114" t="s">
        <v>1973</v>
      </c>
      <c r="P8" s="124"/>
      <c r="Q8" s="790"/>
      <c r="R8" s="116">
        <f>IF(OR(IF(includep1,$B8&lt;=1), IF(includep2,$B8&lt;=2), IF(includep3,$B8&lt;=3), IF(includep4,$B8&lt;=4), IF(includep5,$B8&lt;=5)),MAX($R$1:R7)+1,"")</f>
        <v>5</v>
      </c>
      <c r="S8" s="747">
        <v>6</v>
      </c>
      <c r="T8" s="710"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5"/>
      <c r="L9" s="765"/>
      <c r="M9" s="782"/>
      <c r="N9" s="783">
        <v>1898</v>
      </c>
      <c r="O9" s="114" t="s">
        <v>1973</v>
      </c>
      <c r="P9" s="124"/>
      <c r="Q9" s="790">
        <f>'Damage Calc'!I48*'Damage Calc'!L48*6*IF(CharLevel&gt;60,(CharLevel-60)*2/30,0)*$AA$2*19*IF(SW,1.1,1)*(1+(0.01*miseryimp)*misery)</f>
        <v>4.0697930217315621</v>
      </c>
      <c r="R9" s="116">
        <f>IF(OR(IF(includep1,$B9&lt;=1), IF(includep2,$B9&lt;=2), IF(includep3,$B9&lt;=3), IF(includep4,$B9&lt;=4), IF(includep5,$B9&lt;=5)),MAX($R$1:R8)+1,"")</f>
        <v>6</v>
      </c>
      <c r="S9" s="747">
        <v>7</v>
      </c>
      <c r="T9" s="710"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5">
        <v>7</v>
      </c>
      <c r="L10" s="765">
        <v>7</v>
      </c>
      <c r="M10" s="782">
        <v>7</v>
      </c>
      <c r="N10" s="783">
        <v>963</v>
      </c>
      <c r="O10" s="114" t="s">
        <v>1973</v>
      </c>
      <c r="P10" s="124"/>
      <c r="Q10" s="790"/>
      <c r="R10" s="116" t="str">
        <f>IF(OR(IF(includep1,$B10&lt;=1), IF(includep2,$B10&lt;=2), IF(includep3,$B10&lt;=3), IF(includep4,$B10&lt;=4), IF(includep5,$B10&lt;=5)),MAX($R$1:R9)+1,"")</f>
        <v/>
      </c>
      <c r="S10" s="747">
        <v>8</v>
      </c>
      <c r="T10" s="710" t="str">
        <f t="shared" si="0"/>
        <v>Superior Striking</v>
      </c>
      <c r="U10" s="124"/>
      <c r="V10" s="6"/>
      <c r="W10" s="48"/>
      <c r="X10" s="48"/>
      <c r="Y10" s="6"/>
      <c r="Z10" s="6"/>
      <c r="AA10" s="6"/>
      <c r="AB10" s="6"/>
      <c r="AC10" s="6"/>
      <c r="AD10" s="6"/>
      <c r="AE10" s="6"/>
      <c r="AF10" s="6"/>
    </row>
    <row r="11" spans="1:39" ht="11.25" customHeight="1">
      <c r="A11" s="10" t="s">
        <v>1228</v>
      </c>
      <c r="B11" s="114">
        <v>1</v>
      </c>
      <c r="C11" s="21"/>
      <c r="D11" s="786">
        <f>120*enMnMHup</f>
        <v>67.753947516836675</v>
      </c>
      <c r="E11" s="21"/>
      <c r="F11" s="21"/>
      <c r="G11" s="21"/>
      <c r="H11" s="21"/>
      <c r="I11" s="21"/>
      <c r="J11" s="786">
        <f>2*hasterate*enMnMHup</f>
        <v>17.807127231989124</v>
      </c>
      <c r="K11" s="765"/>
      <c r="L11" s="765"/>
      <c r="M11" s="765"/>
      <c r="N11" s="783">
        <v>2673</v>
      </c>
      <c r="O11" s="114" t="s">
        <v>1973</v>
      </c>
      <c r="P11" s="765"/>
      <c r="Q11" s="790"/>
      <c r="R11" s="116">
        <f>IF(OR(IF(includep1,$B11&lt;=1), IF(includep2,$B11&lt;=2), IF(includep3,$B11&lt;=3), IF(includep4,$B11&lt;=4), IF(includep5,$B11&lt;=5)),MAX($R$1:R10)+1,"")</f>
        <v>7</v>
      </c>
      <c r="S11" s="747">
        <v>9</v>
      </c>
      <c r="T11" s="710" t="str">
        <f t="shared" si="0"/>
        <v/>
      </c>
      <c r="U11" s="47"/>
      <c r="V11" s="141"/>
      <c r="W11" s="6"/>
      <c r="X11" s="48"/>
      <c r="Y11" s="326"/>
      <c r="Z11" s="326"/>
      <c r="AA11" s="6"/>
      <c r="AB11" s="6"/>
      <c r="AC11" s="6"/>
      <c r="AD11" s="6"/>
      <c r="AE11" s="6"/>
      <c r="AF11" s="6"/>
    </row>
    <row r="12" spans="1:39" ht="11.25" customHeight="1">
      <c r="A12" s="10" t="s">
        <v>2839</v>
      </c>
      <c r="B12" s="114">
        <v>1</v>
      </c>
      <c r="C12" s="21"/>
      <c r="D12" s="786"/>
      <c r="E12" s="21"/>
      <c r="F12" s="21"/>
      <c r="G12" s="21"/>
      <c r="H12" s="21"/>
      <c r="I12" s="21"/>
      <c r="J12" s="786"/>
      <c r="K12" s="765">
        <v>5</v>
      </c>
      <c r="L12" s="765">
        <v>5</v>
      </c>
      <c r="M12" s="765">
        <v>5</v>
      </c>
      <c r="N12" s="783">
        <v>1897</v>
      </c>
      <c r="O12" s="114" t="s">
        <v>1973</v>
      </c>
      <c r="P12" s="765"/>
      <c r="Q12" s="790"/>
      <c r="R12" s="116">
        <f>IF(OR(IF(includep1,$B12&lt;=1), IF(includep2,$B12&lt;=2), IF(includep3,$B12&lt;=3), IF(includep4,$B12&lt;=4), IF(includep5,$B12&lt;=5)),MAX($R$1:R11)+1,"")</f>
        <v>8</v>
      </c>
      <c r="S12" s="747">
        <v>10</v>
      </c>
      <c r="T12" s="710"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87"/>
      <c r="L13" s="114"/>
      <c r="M13" s="116"/>
      <c r="N13" s="114"/>
      <c r="O13" s="114"/>
      <c r="P13" s="114"/>
      <c r="Q13" s="114"/>
      <c r="R13" s="116"/>
      <c r="S13" s="116"/>
      <c r="T13" s="10"/>
      <c r="U13" s="47"/>
      <c r="V13" s="48" t="s">
        <v>3104</v>
      </c>
      <c r="W13" s="48"/>
      <c r="X13" s="48"/>
      <c r="Y13" s="48"/>
      <c r="Z13" s="48"/>
      <c r="AA13" s="6"/>
      <c r="AB13" s="792" t="s">
        <v>1640</v>
      </c>
      <c r="AC13" s="793">
        <f>AC14*12</f>
        <v>13.397746339819724</v>
      </c>
      <c r="AD13" s="793"/>
      <c r="AE13" s="6"/>
      <c r="AF13" s="6"/>
      <c r="AG13" s="6"/>
    </row>
    <row r="14" spans="1:39" ht="11.25" customHeight="1">
      <c r="A14" s="10"/>
      <c r="B14" s="114"/>
      <c r="C14" s="114"/>
      <c r="D14" s="114"/>
      <c r="E14" s="114"/>
      <c r="F14" s="115"/>
      <c r="G14" s="115"/>
      <c r="H14" s="114"/>
      <c r="I14" s="114"/>
      <c r="J14" s="116"/>
      <c r="K14" s="787"/>
      <c r="L14" s="114"/>
      <c r="M14" s="116"/>
      <c r="N14" s="114"/>
      <c r="O14" s="114"/>
      <c r="P14" s="114"/>
      <c r="Q14" s="114"/>
      <c r="R14" s="116"/>
      <c r="S14" s="116"/>
      <c r="T14" s="10"/>
      <c r="U14" s="133"/>
      <c r="V14" s="48" t="s">
        <v>1287</v>
      </c>
      <c r="W14" s="48"/>
      <c r="X14" s="48"/>
      <c r="Y14" s="6"/>
      <c r="Z14" s="6"/>
      <c r="AA14" s="48"/>
      <c r="AB14" s="792" t="s">
        <v>1641</v>
      </c>
      <c r="AC14" s="794">
        <f>IF(mhtemp="deadly poison VII",'Damage Calc'!K48,0)+IF(ohtemp="deadly poison VII",'Damage Calc'!K49,0)</f>
        <v>1.1164788616516437</v>
      </c>
      <c r="AD14" s="794"/>
      <c r="AE14" s="6"/>
      <c r="AF14" s="6"/>
      <c r="AG14" s="6"/>
    </row>
    <row r="15" spans="1:39" ht="11.25" customHeight="1">
      <c r="A15" s="10"/>
      <c r="B15" s="114"/>
      <c r="C15" s="114"/>
      <c r="D15" s="114"/>
      <c r="E15" s="114"/>
      <c r="F15" s="115"/>
      <c r="G15" s="115"/>
      <c r="H15" s="114"/>
      <c r="I15" s="114"/>
      <c r="J15" s="116"/>
      <c r="K15" s="787"/>
      <c r="L15" s="114"/>
      <c r="M15" s="116"/>
      <c r="N15" s="114"/>
      <c r="O15" s="114"/>
      <c r="P15" s="114"/>
      <c r="Q15" s="114"/>
      <c r="R15" s="116"/>
      <c r="S15" s="116"/>
      <c r="T15" s="10"/>
      <c r="U15" s="124"/>
      <c r="V15" s="6" t="s">
        <v>3105</v>
      </c>
      <c r="W15" s="145">
        <f>bMHthit</f>
        <v>0.97956097560975608</v>
      </c>
      <c r="X15" s="145"/>
      <c r="Y15" s="48"/>
      <c r="Z15" s="149"/>
      <c r="AA15" s="6"/>
      <c r="AB15" s="792" t="s">
        <v>1642</v>
      </c>
      <c r="AC15" s="795">
        <f>$AB$2*($AA$2+mpsn)</f>
        <v>0.24899999999999997</v>
      </c>
      <c r="AD15" s="795"/>
      <c r="AE15" s="6"/>
      <c r="AF15" s="6"/>
      <c r="AG15" s="6"/>
    </row>
    <row r="16" spans="1:39" ht="11.25" customHeight="1" thickBot="1">
      <c r="A16" s="796" t="s">
        <v>1644</v>
      </c>
      <c r="B16" s="797" t="s">
        <v>2795</v>
      </c>
      <c r="C16" s="797" t="s">
        <v>1213</v>
      </c>
      <c r="D16" s="797" t="s">
        <v>1214</v>
      </c>
      <c r="E16" s="797" t="s">
        <v>1215</v>
      </c>
      <c r="F16" s="797" t="s">
        <v>2139</v>
      </c>
      <c r="G16" s="797" t="s">
        <v>2138</v>
      </c>
      <c r="H16" s="797" t="s">
        <v>767</v>
      </c>
      <c r="I16" s="797" t="s">
        <v>1218</v>
      </c>
      <c r="J16" s="797" t="s">
        <v>1016</v>
      </c>
      <c r="K16" s="797" t="s">
        <v>1221</v>
      </c>
      <c r="L16" s="797" t="s">
        <v>1222</v>
      </c>
      <c r="M16" s="797" t="s">
        <v>1704</v>
      </c>
      <c r="N16" s="797" t="s">
        <v>146</v>
      </c>
      <c r="O16" s="797" t="s">
        <v>1224</v>
      </c>
      <c r="P16" s="797" t="s">
        <v>1225</v>
      </c>
      <c r="Q16" s="797" t="s">
        <v>147</v>
      </c>
      <c r="R16" s="797">
        <v>0</v>
      </c>
      <c r="S16" s="798"/>
      <c r="T16" s="799" t="s">
        <v>1688</v>
      </c>
      <c r="U16" s="124"/>
      <c r="V16" s="6" t="s">
        <v>1187</v>
      </c>
      <c r="W16" s="145">
        <f>bMHcrit</f>
        <v>0.22111169225206101</v>
      </c>
      <c r="X16" s="145"/>
      <c r="Y16" s="48"/>
      <c r="Z16" s="48"/>
      <c r="AA16" s="48"/>
      <c r="AB16" s="792" t="s">
        <v>1643</v>
      </c>
      <c r="AC16" s="793">
        <f>IF(AC13*AC15&gt;0,AC13*AC15,1)</f>
        <v>3.336038838615111</v>
      </c>
      <c r="AD16" s="793"/>
      <c r="AE16" s="6"/>
      <c r="AF16" s="6"/>
      <c r="AG16" s="6"/>
    </row>
    <row r="17" spans="1:39" ht="11.25" customHeight="1">
      <c r="A17" s="10" t="s">
        <v>2206</v>
      </c>
      <c r="B17" s="114"/>
      <c r="C17" s="114"/>
      <c r="D17" s="114"/>
      <c r="E17" s="114"/>
      <c r="F17" s="115"/>
      <c r="G17" s="115"/>
      <c r="H17" s="114"/>
      <c r="I17" s="114"/>
      <c r="J17" s="116"/>
      <c r="K17" s="765"/>
      <c r="L17" s="765"/>
      <c r="M17" s="782"/>
      <c r="N17" s="783"/>
      <c r="O17" s="114" t="s">
        <v>1973</v>
      </c>
      <c r="P17" s="124"/>
      <c r="Q17" s="789"/>
      <c r="R17" s="788"/>
      <c r="S17" s="745"/>
      <c r="T17" s="709"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5">
        <v>12</v>
      </c>
      <c r="L18" s="765">
        <v>12</v>
      </c>
      <c r="M18" s="782">
        <v>12</v>
      </c>
      <c r="N18" s="783"/>
      <c r="O18" s="114" t="s">
        <v>1973</v>
      </c>
      <c r="P18" s="124"/>
      <c r="Q18" s="790"/>
      <c r="R18" s="116">
        <f>IF(OR(IF(includep1,$B18&lt;=1), IF(includep2,$B18&lt;=2), IF(includep3,$B18&lt;=3), IF(includep4,$B18&lt;=4), IF(includep5,$B18&lt;=5)),MAX($R$16:R17)+1,"")</f>
        <v>1</v>
      </c>
      <c r="S18" s="747">
        <v>1</v>
      </c>
      <c r="T18" s="710"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5"/>
      <c r="L19" s="765"/>
      <c r="M19" s="782"/>
      <c r="N19" s="783"/>
      <c r="O19" s="114" t="s">
        <v>1973</v>
      </c>
      <c r="P19" s="124"/>
      <c r="Q19" s="790">
        <f>IF(Talents!$O$18="Yes",'Damage Calc'!K48*($AA$2+mpsn)*$AD$2*$AF$2*(Talents!$C$23*0.04+1)*(1+(0.01*miseryimp)*misery)*(1+(thunderfury*thunderfurydps)),0)</f>
        <v>38.502009507025427</v>
      </c>
      <c r="R19" s="116">
        <f>IF(OR(IF(includep1,$B19&lt;=1), IF(includep2,$B19&lt;=2), IF(includep3,$B19&lt;=3), IF(includep4,$B19&lt;=4), IF(includep5,$B19&lt;=5)),MAX($R$16:R18)+1,"")</f>
        <v>2</v>
      </c>
      <c r="S19" s="747">
        <v>2</v>
      </c>
      <c r="T19" s="710"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5"/>
      <c r="L20" s="765"/>
      <c r="M20" s="782"/>
      <c r="N20" s="783"/>
      <c r="O20" s="114" t="s">
        <v>1973</v>
      </c>
      <c r="P20" s="124"/>
      <c r="Q20" s="790"/>
      <c r="R20" s="116">
        <f>IF(OR(IF(includep1,$B20&lt;=1), IF(includep2,$B20&lt;=2), IF(includep3,$B20&lt;=3), IF(includep4,$B20&lt;=4), IF(includep5,$B20&lt;=5)),MAX($R$16:R19)+1,"")</f>
        <v>3</v>
      </c>
      <c r="S20" s="747">
        <v>3</v>
      </c>
      <c r="T20" s="710" t="str">
        <f t="shared" si="1"/>
        <v>Consecrated Sharpening Stone</v>
      </c>
      <c r="U20" s="124"/>
      <c r="V20" s="48" t="s">
        <v>1264</v>
      </c>
      <c r="W20" s="1342">
        <f>bfWFea</f>
        <v>0.15313810351325544</v>
      </c>
      <c r="X20" s="1342">
        <f>SUM('Damage Calc'!F5:F7)*bfWFea</f>
        <v>0.17454294295415593</v>
      </c>
      <c r="Y20" s="1342">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5"/>
      <c r="L21" s="765"/>
      <c r="M21" s="782"/>
      <c r="N21" s="783"/>
      <c r="O21" s="114" t="s">
        <v>1973</v>
      </c>
      <c r="P21" s="124"/>
      <c r="Q21" s="790">
        <f>IF(Talents!$O$18="Yes",($AD$28*$AC$2/12*(Talents!$C$23*0.04+1)*(1+(0.01*miseryimp)*misery)*(1+(thunderfury*thunderfurydps)))-lostdp,0)</f>
        <v>77.558933726510688</v>
      </c>
      <c r="R21" s="116">
        <f>IF(OR(IF(includep1,$B21&lt;=1), IF(includep2,$B21&lt;=2), IF(includep3,$B21&lt;=3), IF(includep4,$B21&lt;=4), IF(includep5,$B21&lt;=5)),MAX($R$16:R20)+1,"")</f>
        <v>4</v>
      </c>
      <c r="S21" s="747">
        <v>4</v>
      </c>
      <c r="T21" s="710" t="str">
        <f t="shared" si="1"/>
        <v>Deadly Poison VII</v>
      </c>
      <c r="U21" s="124"/>
      <c r="V21" s="145" t="s">
        <v>3108</v>
      </c>
      <c r="W21" s="1342">
        <f>445*(1+15%*bfWFtl)/14*bMHspd*(W17+W18*W19+W16*bMHcfact)</f>
        <v>123.97430039356702</v>
      </c>
      <c r="X21" s="1342">
        <f>445*(1+15%*bfWFtl)/14*bOHspd*(W17+W18*W19+W16*bOHcfact)*bOHdamfac</f>
        <v>50.066544389709762</v>
      </c>
      <c r="Y21" s="1342">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5">
        <v>8</v>
      </c>
      <c r="L22" s="765">
        <v>8</v>
      </c>
      <c r="M22" s="782">
        <v>8</v>
      </c>
      <c r="N22" s="783"/>
      <c r="O22" s="114" t="s">
        <v>1973</v>
      </c>
      <c r="P22" s="124"/>
      <c r="Q22" s="790"/>
      <c r="R22" s="116">
        <f>IF(OR(IF(includep1,$B22&lt;=1), IF(includep2,$B22&lt;=2), IF(includep3,$B22&lt;=3), IF(includep4,$B22&lt;=4), IF(includep5,$B22&lt;=5)),MAX($R$16:R21)+1,"")</f>
        <v>5</v>
      </c>
      <c r="S22" s="747">
        <v>5</v>
      </c>
      <c r="T22" s="710" t="str">
        <f t="shared" si="1"/>
        <v>Dense Sharpening Stone</v>
      </c>
      <c r="U22" s="124"/>
      <c r="V22" s="145" t="s">
        <v>2252</v>
      </c>
      <c r="W22" s="1342">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5"/>
      <c r="L23" s="765"/>
      <c r="M23" s="782"/>
      <c r="N23" s="783"/>
      <c r="O23" s="114" t="s">
        <v>1973</v>
      </c>
      <c r="P23" s="124"/>
      <c r="Q23" s="790"/>
      <c r="R23" s="116">
        <f>IF(OR(IF(includep1,$B23&lt;=1), IF(includep2,$B23&lt;=2), IF(includep3,$B23&lt;=3), IF(includep4,$B23&lt;=4), IF(includep5,$B23&lt;=5)),MAX($R$16:R22)+1,"")</f>
        <v>6</v>
      </c>
      <c r="S23" s="747">
        <v>6</v>
      </c>
      <c r="T23" s="710"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5">
        <v>12</v>
      </c>
      <c r="L24" s="765">
        <v>12</v>
      </c>
      <c r="M24" s="782">
        <v>12</v>
      </c>
      <c r="N24" s="783"/>
      <c r="O24" s="114" t="s">
        <v>1973</v>
      </c>
      <c r="P24" s="124"/>
      <c r="Q24" s="790"/>
      <c r="R24" s="116">
        <f>IF(OR(IF(includep1,$B24&lt;=1), IF(includep2,$B24&lt;=2), IF(includep3,$B24&lt;=3), IF(includep4,$B24&lt;=4), IF(includep5,$B24&lt;=5)),MAX($R$16:R23)+1,"")</f>
        <v>7</v>
      </c>
      <c r="S24" s="747">
        <v>7</v>
      </c>
      <c r="T24" s="710"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5"/>
      <c r="L25" s="765"/>
      <c r="M25" s="782"/>
      <c r="N25" s="783"/>
      <c r="O25" s="114" t="s">
        <v>1973</v>
      </c>
      <c r="P25" s="124"/>
      <c r="Q25" s="790">
        <f>IF(Talents!O36="No",W25*AA2*'Damage Calc'!K48*MHspd*(1+(0.01*miseryimp)*misery),0)</f>
        <v>61.0282015398449</v>
      </c>
      <c r="R25" s="116">
        <f>IF(OR(IF(includep1,$B25&lt;=1), IF(includep2,$B25&lt;=2), IF(includep3,$B25&lt;=3), IF(includep4,$B25&lt;=4), IF(includep5,$B25&lt;=5)),MAX($R$16:R24)+1,"")</f>
        <v>8</v>
      </c>
      <c r="S25" s="747">
        <v>8</v>
      </c>
      <c r="T25" s="710" t="str">
        <f t="shared" si="1"/>
        <v>Flametongue</v>
      </c>
      <c r="U25" s="124"/>
      <c r="V25" s="6" t="s">
        <v>3107</v>
      </c>
      <c r="W25" s="1343">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5"/>
      <c r="L26" s="765"/>
      <c r="M26" s="782"/>
      <c r="N26" s="783"/>
      <c r="O26" s="114" t="s">
        <v>1973</v>
      </c>
      <c r="P26" s="124"/>
      <c r="Q26" s="790">
        <f>IF(Talents!$O$18="Yes",'Damage Calc'!K48*($AA$2+mpsn)*$AD$2*$AE$2*(Talents!$C$23*0.04+1)*(1+(0.01*miseryimp)*misery)*(1+(thunderfury*thunderfurydps)),0)</f>
        <v>42.780010563361593</v>
      </c>
      <c r="R26" s="116">
        <f>IF(OR(IF(includep1,$B26&lt;=1), IF(includep2,$B26&lt;=2), IF(includep3,$B26&lt;=3), IF(includep4,$B26&lt;=4), IF(includep5,$B26&lt;=5)),MAX($R$16:R25)+1,"")</f>
        <v>9</v>
      </c>
      <c r="S26" s="747">
        <v>9</v>
      </c>
      <c r="T26" s="710"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5"/>
      <c r="L27" s="765"/>
      <c r="M27" s="782"/>
      <c r="N27" s="783"/>
      <c r="O27" s="114" t="s">
        <v>1973</v>
      </c>
      <c r="P27" s="124"/>
      <c r="Q27" s="790"/>
      <c r="R27" s="116" t="str">
        <f>IF(OR(IF(includep1,$B27&lt;=1), IF(includep2,$B27&lt;=2), IF(includep3,$B27&lt;=3), IF(includep4,$B27&lt;=4), IF(includep5,$B27&lt;=5)),MAX($R$16:R26)+1,"")</f>
        <v/>
      </c>
      <c r="S27" s="747">
        <v>10</v>
      </c>
      <c r="T27" s="710"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5"/>
      <c r="L28" s="765"/>
      <c r="M28" s="782"/>
      <c r="N28" s="783"/>
      <c r="O28" s="114" t="s">
        <v>1973</v>
      </c>
      <c r="P28" s="124"/>
      <c r="Q28" s="790"/>
      <c r="R28" s="116">
        <f>IF(OR(IF(includep1,$B28&lt;=1), IF(includep2,$B28&lt;=2), IF(includep3,$B28&lt;=3), IF(includep4,$B28&lt;=4), IF(includep5,$B28&lt;=5)),MAX($R$16:R27)+1,"")</f>
        <v>10</v>
      </c>
      <c r="S28" s="747">
        <v>11</v>
      </c>
      <c r="T28" s="710"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5"/>
      <c r="L29" s="765"/>
      <c r="M29" s="782"/>
      <c r="N29" s="783"/>
      <c r="O29" s="114" t="s">
        <v>1973</v>
      </c>
      <c r="P29" s="124"/>
      <c r="Q29" s="790">
        <f>IF(Talents!$O$18="Yes",'Damage Calc'!K48*($AA$2+mpsn)*$AG$2*$AH$2*(Talents!$C$23*0.04+1)*(1+(0.01*miseryimp)*misery)*(1+(thunderfury*thunderfurydps)),0)</f>
        <v>24.535594293692672</v>
      </c>
      <c r="R29" s="116">
        <f>IF(OR(IF(includep1,$B29&lt;=1), IF(includep2,$B29&lt;=2), IF(includep3,$B29&lt;=3), IF(includep4,$B29&lt;=4), IF(includep5,$B29&lt;=5)),MAX($R$16:R28)+1,"")</f>
        <v>11</v>
      </c>
      <c r="S29" s="747">
        <v>12</v>
      </c>
      <c r="T29" s="710"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87"/>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87"/>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87"/>
      <c r="L32" s="114"/>
      <c r="M32" s="116"/>
      <c r="N32" s="114"/>
      <c r="O32" s="114"/>
      <c r="P32" s="114"/>
      <c r="Q32" s="114"/>
      <c r="R32" s="116"/>
      <c r="S32" s="116"/>
      <c r="T32" s="10"/>
      <c r="U32" s="124"/>
      <c r="X32" s="48"/>
      <c r="AH32" s="6"/>
      <c r="AI32" s="6"/>
      <c r="AJ32" s="6"/>
      <c r="AK32" s="6"/>
      <c r="AL32" s="6"/>
      <c r="AM32" s="6"/>
    </row>
    <row r="33" spans="1:39" ht="11.25" customHeight="1" thickBot="1">
      <c r="A33" s="796" t="s">
        <v>1288</v>
      </c>
      <c r="B33" s="797" t="s">
        <v>2795</v>
      </c>
      <c r="C33" s="797" t="s">
        <v>1213</v>
      </c>
      <c r="D33" s="797" t="s">
        <v>1214</v>
      </c>
      <c r="E33" s="797" t="s">
        <v>1215</v>
      </c>
      <c r="F33" s="797" t="s">
        <v>2139</v>
      </c>
      <c r="G33" s="797" t="s">
        <v>2138</v>
      </c>
      <c r="H33" s="797" t="s">
        <v>767</v>
      </c>
      <c r="I33" s="797" t="s">
        <v>1218</v>
      </c>
      <c r="J33" s="797" t="s">
        <v>770</v>
      </c>
      <c r="K33" s="797" t="s">
        <v>1221</v>
      </c>
      <c r="L33" s="797" t="s">
        <v>1222</v>
      </c>
      <c r="M33" s="797" t="s">
        <v>1704</v>
      </c>
      <c r="N33" s="797" t="s">
        <v>146</v>
      </c>
      <c r="O33" s="797" t="s">
        <v>1224</v>
      </c>
      <c r="P33" s="797" t="s">
        <v>1225</v>
      </c>
      <c r="Q33" s="797" t="s">
        <v>147</v>
      </c>
      <c r="R33" s="797">
        <v>0</v>
      </c>
      <c r="S33" s="798"/>
      <c r="T33" s="799"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5"/>
      <c r="L34" s="765"/>
      <c r="M34" s="782"/>
      <c r="N34" s="783"/>
      <c r="O34" s="114" t="s">
        <v>1973</v>
      </c>
      <c r="P34" s="124"/>
      <c r="Q34" s="789"/>
      <c r="R34" s="788"/>
      <c r="S34" s="747"/>
      <c r="T34" s="710"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5"/>
      <c r="L35" s="765"/>
      <c r="M35" s="782"/>
      <c r="N35" s="783">
        <v>2564</v>
      </c>
      <c r="O35" s="114" t="s">
        <v>1973</v>
      </c>
      <c r="P35" s="124"/>
      <c r="Q35" s="790"/>
      <c r="R35" s="116">
        <f>IF(OR(IF(includep1,$B35&lt;=1), IF(includep2,$B35&lt;=2), IF(includep3,$B35&lt;=3), IF(includep4,$B35&lt;=4), IF(includep5,$B35&lt;=5)),MAX($R$33:R34)+1,"")</f>
        <v>1</v>
      </c>
      <c r="S35" s="747">
        <v>1</v>
      </c>
      <c r="T35" s="710"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5"/>
      <c r="L36" s="765"/>
      <c r="M36" s="782"/>
      <c r="N36" s="783">
        <v>1900</v>
      </c>
      <c r="O36" s="114" t="s">
        <v>1973</v>
      </c>
      <c r="P36" s="124"/>
      <c r="Q36" s="790"/>
      <c r="R36" s="116">
        <f>IF(OR(IF(includep1,$B36&lt;=1), IF(includep2,$B36&lt;=2), IF(includep3,$B36&lt;=3), IF(includep4,$B36&lt;=4), IF(includep5,$B36&lt;=5)),MAX($R$33:R35)+1,"")</f>
        <v>2</v>
      </c>
      <c r="S36" s="747">
        <v>2</v>
      </c>
      <c r="T36" s="710"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5"/>
      <c r="L37" s="765"/>
      <c r="M37" s="782"/>
      <c r="N37" s="783">
        <v>912</v>
      </c>
      <c r="O37" s="114" t="s">
        <v>1973</v>
      </c>
      <c r="P37" s="124"/>
      <c r="Q37" s="790">
        <f>'Damage Calc'!I49*'Damage Calc'!L49*3*IF(CharLevel&gt;60,(CharLevel-60)*2/30,0)*$AA$2*100</f>
        <v>4.324494790797365</v>
      </c>
      <c r="R37" s="116">
        <f>IF(OR(IF(includep1,$B37&lt;=1), IF(includep2,$B37&lt;=2), IF(includep3,$B37&lt;=3), IF(includep4,$B37&lt;=4), IF(includep5,$B37&lt;=5)),MAX($R$33:R36)+1,"")</f>
        <v>3</v>
      </c>
      <c r="S37" s="747">
        <v>3</v>
      </c>
      <c r="T37" s="710"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5"/>
      <c r="L38" s="765"/>
      <c r="M38" s="782"/>
      <c r="N38" s="783">
        <v>3225</v>
      </c>
      <c r="O38" s="114" t="s">
        <v>1973</v>
      </c>
      <c r="P38" s="124"/>
      <c r="Q38" s="790"/>
      <c r="R38" s="116" t="str">
        <f>IF(OR(IF(includep1,$B38&lt;=1), IF(includep2,$B38&lt;=2), IF(includep3,$B38&lt;=3), IF(includep4,$B38&lt;=4), IF(includep5,$B38&lt;=5)),MAX($R$33:R37)+1,"")</f>
        <v/>
      </c>
      <c r="S38" s="747">
        <v>4</v>
      </c>
      <c r="T38" s="710"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5"/>
      <c r="L39" s="765"/>
      <c r="M39" s="782"/>
      <c r="N39" s="783">
        <v>803</v>
      </c>
      <c r="O39" s="114" t="s">
        <v>1973</v>
      </c>
      <c r="P39" s="124"/>
      <c r="Q39" s="790">
        <f>'Damage Calc'!I49*'Damage Calc'!L49*6*IF(CharLevel&gt;60,(CharLevel-60)*2/30,0)*$AA$2*40*(1+(0.01*miseryimp)*misery)*IF(CoE,1.25,1)</f>
        <v>4.5407195303372339</v>
      </c>
      <c r="R39" s="116">
        <f>IF(OR(IF(includep1,$B39&lt;=1), IF(includep2,$B39&lt;=2), IF(includep3,$B39&lt;=3), IF(includep4,$B39&lt;=4), IF(includep5,$B39&lt;=5)),MAX($R$33:R38)+1,"")</f>
        <v>4</v>
      </c>
      <c r="S39" s="747">
        <v>5</v>
      </c>
      <c r="T39" s="710"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5"/>
      <c r="L40" s="765"/>
      <c r="M40" s="782"/>
      <c r="N40" s="783">
        <v>3222</v>
      </c>
      <c r="O40" s="114" t="s">
        <v>1973</v>
      </c>
      <c r="P40" s="124"/>
      <c r="Q40" s="790"/>
      <c r="R40" s="116">
        <f>IF(OR(IF(includep1,$B40&lt;=1), IF(includep2,$B40&lt;=2), IF(includep3,$B40&lt;=3), IF(includep4,$B40&lt;=4), IF(includep5,$B40&lt;=5)),MAX($R$33:R39)+1,"")</f>
        <v>5</v>
      </c>
      <c r="S40" s="747">
        <v>6</v>
      </c>
      <c r="T40" s="710"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5"/>
      <c r="L41" s="765"/>
      <c r="M41" s="782"/>
      <c r="N41" s="783">
        <v>1898</v>
      </c>
      <c r="O41" s="114" t="s">
        <v>1973</v>
      </c>
      <c r="P41" s="124"/>
      <c r="Q41" s="790">
        <f>'Damage Calc'!I49*'Damage Calc'!L49*6*IF(CharLevel&gt;60,(CharLevel-60)*2/30,0)*$AA$2*19*IF(SW,1.1,1)*(1+(0.01*miseryimp)*misery)</f>
        <v>1.8980207636809638</v>
      </c>
      <c r="R41" s="116">
        <f>IF(OR(IF(includep1,$B41&lt;=1), IF(includep2,$B41&lt;=2), IF(includep3,$B41&lt;=3), IF(includep4,$B41&lt;=4), IF(includep5,$B41&lt;=5)),MAX($R$33:R40)+1,"")</f>
        <v>6</v>
      </c>
      <c r="S41" s="747">
        <v>7</v>
      </c>
      <c r="T41" s="710"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5">
        <v>7</v>
      </c>
      <c r="L42" s="765">
        <v>7</v>
      </c>
      <c r="M42" s="782">
        <v>7</v>
      </c>
      <c r="N42" s="783">
        <v>963</v>
      </c>
      <c r="O42" s="114" t="s">
        <v>1973</v>
      </c>
      <c r="P42" s="124"/>
      <c r="Q42" s="790"/>
      <c r="R42" s="116" t="str">
        <f>IF(OR(IF(includep1,$B42&lt;=1), IF(includep2,$B42&lt;=2), IF(includep3,$B42&lt;=3), IF(includep4,$B42&lt;=4), IF(includep5,$B42&lt;=5)),MAX($R$33:R41)+1,"")</f>
        <v/>
      </c>
      <c r="S42" s="747">
        <v>8</v>
      </c>
      <c r="T42" s="710" t="str">
        <f t="shared" si="2"/>
        <v>Superior Striking</v>
      </c>
      <c r="U42" s="47"/>
    </row>
    <row r="43" spans="1:39" ht="11.25" customHeight="1">
      <c r="A43" s="10" t="s">
        <v>1228</v>
      </c>
      <c r="B43" s="114">
        <v>1</v>
      </c>
      <c r="C43" s="21"/>
      <c r="D43" s="786">
        <f>120*enMnOHup</f>
        <v>37.162426636543863</v>
      </c>
      <c r="E43" s="21"/>
      <c r="F43" s="21"/>
      <c r="G43" s="21"/>
      <c r="H43" s="21"/>
      <c r="I43" s="21"/>
      <c r="J43" s="786">
        <f>2*hasterate*enMnOHup</f>
        <v>9.7670480262711425</v>
      </c>
      <c r="K43" s="765"/>
      <c r="L43" s="765"/>
      <c r="M43" s="765"/>
      <c r="N43" s="783">
        <v>2673</v>
      </c>
      <c r="O43" s="114" t="s">
        <v>1973</v>
      </c>
      <c r="P43" s="124"/>
      <c r="Q43" s="790"/>
      <c r="R43" s="116">
        <f>IF(OR(IF(includep1,$B43&lt;=1), IF(includep2,$B43&lt;=2), IF(includep3,$B43&lt;=3), IF(includep4,$B43&lt;=4), IF(includep5,$B43&lt;=5)),MAX($R$33:R42)+1,"")</f>
        <v>7</v>
      </c>
      <c r="S43" s="747">
        <v>9</v>
      </c>
      <c r="T43" s="710" t="str">
        <f t="shared" si="2"/>
        <v/>
      </c>
      <c r="U43" s="133"/>
      <c r="Y43" s="48"/>
      <c r="Z43" s="48"/>
      <c r="AA43" s="48"/>
      <c r="AB43" s="131"/>
      <c r="AC43" s="48"/>
    </row>
    <row r="44" spans="1:39" ht="11.25" customHeight="1">
      <c r="A44" s="10" t="s">
        <v>2839</v>
      </c>
      <c r="B44" s="114">
        <v>1</v>
      </c>
      <c r="C44" s="21"/>
      <c r="D44" s="786"/>
      <c r="E44" s="21"/>
      <c r="F44" s="21"/>
      <c r="G44" s="21"/>
      <c r="H44" s="21"/>
      <c r="I44" s="21"/>
      <c r="J44" s="786"/>
      <c r="K44" s="765">
        <v>5</v>
      </c>
      <c r="L44" s="765">
        <v>5</v>
      </c>
      <c r="M44" s="765">
        <v>5</v>
      </c>
      <c r="N44" s="783">
        <v>1897</v>
      </c>
      <c r="O44" s="114" t="s">
        <v>1973</v>
      </c>
      <c r="P44" s="765"/>
      <c r="Q44" s="790"/>
      <c r="R44" s="116">
        <f>IF(OR(IF(includep1,$B44&lt;=1), IF(includep2,$B44&lt;=2), IF(includep3,$B44&lt;=3), IF(includep4,$B44&lt;=4), IF(includep5,$B44&lt;=5)),MAX($R$33:R43)+1,"")</f>
        <v>8</v>
      </c>
      <c r="S44" s="747">
        <v>10</v>
      </c>
      <c r="T44" s="710" t="str">
        <f t="shared" si="2"/>
        <v/>
      </c>
      <c r="U44" s="124"/>
    </row>
    <row r="45" spans="1:39" ht="11.25" customHeight="1">
      <c r="A45" s="47"/>
      <c r="B45" s="114"/>
      <c r="C45" s="114"/>
      <c r="D45" s="114"/>
      <c r="E45" s="114"/>
      <c r="F45" s="115"/>
      <c r="G45" s="115"/>
      <c r="H45" s="114"/>
      <c r="I45" s="114"/>
      <c r="J45" s="116"/>
      <c r="K45" s="787"/>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87"/>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87"/>
      <c r="L47" s="114"/>
      <c r="M47" s="116"/>
      <c r="N47" s="114"/>
      <c r="O47" s="114"/>
      <c r="P47" s="114"/>
      <c r="Q47" s="114"/>
      <c r="R47" s="116"/>
      <c r="S47" s="116"/>
      <c r="T47" s="10"/>
      <c r="U47" s="124"/>
      <c r="Y47" s="48"/>
      <c r="Z47" s="48"/>
      <c r="AA47" s="48"/>
      <c r="AB47" s="48"/>
      <c r="AC47" s="48"/>
      <c r="AD47" s="48"/>
    </row>
    <row r="48" spans="1:39" ht="11.25" customHeight="1" thickBot="1">
      <c r="A48" s="796" t="s">
        <v>562</v>
      </c>
      <c r="B48" s="797" t="s">
        <v>2795</v>
      </c>
      <c r="C48" s="797" t="s">
        <v>1213</v>
      </c>
      <c r="D48" s="797" t="s">
        <v>1214</v>
      </c>
      <c r="E48" s="797" t="s">
        <v>1215</v>
      </c>
      <c r="F48" s="797" t="s">
        <v>2139</v>
      </c>
      <c r="G48" s="797" t="s">
        <v>2138</v>
      </c>
      <c r="H48" s="797" t="s">
        <v>767</v>
      </c>
      <c r="I48" s="797" t="s">
        <v>1218</v>
      </c>
      <c r="J48" s="797" t="s">
        <v>1016</v>
      </c>
      <c r="K48" s="797" t="s">
        <v>1221</v>
      </c>
      <c r="L48" s="797" t="s">
        <v>1222</v>
      </c>
      <c r="M48" s="797" t="s">
        <v>1704</v>
      </c>
      <c r="N48" s="797" t="s">
        <v>146</v>
      </c>
      <c r="O48" s="797" t="s">
        <v>1224</v>
      </c>
      <c r="P48" s="797" t="s">
        <v>1225</v>
      </c>
      <c r="Q48" s="797" t="s">
        <v>147</v>
      </c>
      <c r="R48" s="797">
        <v>0</v>
      </c>
      <c r="S48" s="798"/>
      <c r="T48" s="799" t="s">
        <v>1688</v>
      </c>
      <c r="U48" s="124"/>
      <c r="Y48" s="48"/>
      <c r="Z48" s="48"/>
      <c r="AA48" s="48"/>
      <c r="AB48" s="48"/>
      <c r="AC48" s="48"/>
      <c r="AD48" s="48"/>
    </row>
    <row r="49" spans="1:30" ht="11.25" customHeight="1">
      <c r="A49" s="10" t="s">
        <v>2206</v>
      </c>
      <c r="B49" s="114"/>
      <c r="C49" s="114"/>
      <c r="D49" s="114"/>
      <c r="E49" s="114"/>
      <c r="F49" s="115"/>
      <c r="G49" s="115"/>
      <c r="H49" s="114"/>
      <c r="I49" s="114"/>
      <c r="J49" s="116"/>
      <c r="K49" s="765"/>
      <c r="L49" s="765"/>
      <c r="M49" s="782"/>
      <c r="N49" s="783"/>
      <c r="O49" s="114" t="s">
        <v>1973</v>
      </c>
      <c r="P49" s="124"/>
      <c r="Q49" s="789"/>
      <c r="R49" s="788"/>
      <c r="S49" s="747"/>
      <c r="T49" s="710"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5">
        <v>12</v>
      </c>
      <c r="L50" s="765">
        <v>12</v>
      </c>
      <c r="M50" s="782">
        <v>12</v>
      </c>
      <c r="N50" s="783"/>
      <c r="O50" s="114" t="s">
        <v>1973</v>
      </c>
      <c r="P50" s="124"/>
      <c r="Q50" s="790"/>
      <c r="R50" s="116">
        <f>IF(OR(IF(includep1,$B50&lt;=1), IF(includep2,$B50&lt;=2), IF(includep3,$B50&lt;=3), IF(includep4,$B50&lt;=4), IF(includep5,$B50&lt;=5)),MAX($R$48:R49)+1,"")</f>
        <v>1</v>
      </c>
      <c r="S50" s="747">
        <v>1</v>
      </c>
      <c r="T50" s="710"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5"/>
      <c r="L51" s="765"/>
      <c r="M51" s="782"/>
      <c r="N51" s="783"/>
      <c r="O51" s="114" t="s">
        <v>1973</v>
      </c>
      <c r="P51" s="124"/>
      <c r="Q51" s="790">
        <f>IF(Talents!$O$18="Yes",'Damage Calc'!K49*($AA$2+mpsn)*$AD$2*$AF$2*(Talents!$C$23*0.04+1)*(1+(0.01*miseryimp)*misery)*(1+(thunderfury*thunderfurydps)),0)</f>
        <v>33.347044230796655</v>
      </c>
      <c r="R51" s="116">
        <f>IF(OR(IF(includep1,$B51&lt;=1), IF(includep2,$B51&lt;=2), IF(includep3,$B51&lt;=3), IF(includep4,$B51&lt;=4), IF(includep5,$B51&lt;=5)),MAX($R$48:R50)+1,"")</f>
        <v>2</v>
      </c>
      <c r="S51" s="747">
        <v>2</v>
      </c>
      <c r="T51" s="710"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5"/>
      <c r="L52" s="765"/>
      <c r="M52" s="782"/>
      <c r="N52" s="783"/>
      <c r="O52" s="114" t="s">
        <v>1973</v>
      </c>
      <c r="P52" s="124"/>
      <c r="Q52" s="790"/>
      <c r="R52" s="116">
        <f>IF(OR(IF(includep1,$B52&lt;=1), IF(includep2,$B52&lt;=2), IF(includep3,$B52&lt;=3), IF(includep4,$B52&lt;=4), IF(includep5,$B52&lt;=5)),MAX($R$48:R51)+1,"")</f>
        <v>3</v>
      </c>
      <c r="S52" s="747">
        <v>3</v>
      </c>
      <c r="T52" s="710" t="str">
        <f t="shared" si="3"/>
        <v>Consecrated Sharpening Stone</v>
      </c>
      <c r="U52" s="124"/>
      <c r="AD52" s="48"/>
    </row>
    <row r="53" spans="1:30" ht="11.25" customHeight="1">
      <c r="A53" s="10" t="s">
        <v>2205</v>
      </c>
      <c r="B53" s="114">
        <v>1</v>
      </c>
      <c r="C53" s="114"/>
      <c r="D53" s="114"/>
      <c r="E53" s="114"/>
      <c r="F53" s="115"/>
      <c r="G53" s="115"/>
      <c r="H53" s="114"/>
      <c r="I53" s="114"/>
      <c r="J53" s="116"/>
      <c r="K53" s="765"/>
      <c r="L53" s="765"/>
      <c r="M53" s="782"/>
      <c r="N53" s="783"/>
      <c r="O53" s="114" t="s">
        <v>1973</v>
      </c>
      <c r="P53" s="124"/>
      <c r="Q53" s="790">
        <f>IF(Talents!$O$18="Yes",($AD$28*$AC$2/12*(Talents!$C$23*0.04+1)*(1+(0.01*miseryimp)*misery)*(1+(thunderfury*thunderfurydps)))-lostdp,0)</f>
        <v>77.558933726510688</v>
      </c>
      <c r="R53" s="116">
        <f>IF(OR(IF(includep1,$B53&lt;=1), IF(includep2,$B53&lt;=2), IF(includep3,$B53&lt;=3), IF(includep4,$B53&lt;=4), IF(includep5,$B53&lt;=5)),MAX($R$48:R52)+1,"")</f>
        <v>4</v>
      </c>
      <c r="S53" s="747">
        <v>4</v>
      </c>
      <c r="T53" s="710" t="str">
        <f t="shared" si="3"/>
        <v>Deadly Poison VII</v>
      </c>
      <c r="U53" s="124"/>
      <c r="AD53" s="48"/>
    </row>
    <row r="54" spans="1:30" ht="11.1" customHeight="1">
      <c r="A54" s="10" t="s">
        <v>2838</v>
      </c>
      <c r="B54" s="114">
        <v>1</v>
      </c>
      <c r="C54" s="114"/>
      <c r="D54" s="114"/>
      <c r="E54" s="114"/>
      <c r="F54" s="115"/>
      <c r="G54" s="115"/>
      <c r="H54" s="114"/>
      <c r="I54" s="114"/>
      <c r="J54" s="116"/>
      <c r="K54" s="765">
        <v>8</v>
      </c>
      <c r="L54" s="765">
        <v>8</v>
      </c>
      <c r="M54" s="782">
        <v>8</v>
      </c>
      <c r="N54" s="783"/>
      <c r="O54" s="114" t="s">
        <v>1973</v>
      </c>
      <c r="P54" s="124"/>
      <c r="Q54" s="790"/>
      <c r="R54" s="116">
        <f>IF(OR(IF(includep1,$B54&lt;=1), IF(includep2,$B54&lt;=2), IF(includep3,$B54&lt;=3), IF(includep4,$B54&lt;=4), IF(includep5,$B54&lt;=5)),MAX($R$48:R53)+1,"")</f>
        <v>5</v>
      </c>
      <c r="S54" s="747">
        <v>5</v>
      </c>
      <c r="T54" s="710" t="str">
        <f t="shared" si="3"/>
        <v>Dense Sharpening Stone</v>
      </c>
      <c r="U54" s="189"/>
      <c r="AD54" s="48"/>
    </row>
    <row r="55" spans="1:30" ht="11.1" customHeight="1">
      <c r="A55" s="10" t="s">
        <v>1280</v>
      </c>
      <c r="B55" s="114">
        <v>1</v>
      </c>
      <c r="C55" s="114"/>
      <c r="D55" s="114"/>
      <c r="E55" s="114"/>
      <c r="F55" s="115">
        <v>28</v>
      </c>
      <c r="G55" s="115"/>
      <c r="H55" s="114"/>
      <c r="I55" s="114"/>
      <c r="J55" s="116"/>
      <c r="K55" s="765"/>
      <c r="L55" s="765"/>
      <c r="M55" s="782"/>
      <c r="N55" s="783"/>
      <c r="O55" s="114" t="s">
        <v>1973</v>
      </c>
      <c r="P55" s="124"/>
      <c r="Q55" s="790"/>
      <c r="R55" s="116">
        <f>IF(OR(IF(includep1,$B55&lt;=1), IF(includep2,$B55&lt;=2), IF(includep3,$B55&lt;=3), IF(includep4,$B55&lt;=4), IF(includep5,$B55&lt;=5)),MAX($R$48:R54)+1,"")</f>
        <v>6</v>
      </c>
      <c r="S55" s="747">
        <v>6</v>
      </c>
      <c r="T55" s="710" t="str">
        <f t="shared" si="3"/>
        <v>Elemental Sharpening Stone</v>
      </c>
      <c r="U55" s="189"/>
      <c r="AD55" s="48"/>
    </row>
    <row r="56" spans="1:30" ht="11.1" customHeight="1">
      <c r="A56" s="10" t="s">
        <v>1274</v>
      </c>
      <c r="B56" s="114">
        <v>1</v>
      </c>
      <c r="C56" s="114"/>
      <c r="D56" s="114"/>
      <c r="E56" s="114"/>
      <c r="F56" s="115"/>
      <c r="G56" s="115"/>
      <c r="H56" s="114"/>
      <c r="I56" s="114"/>
      <c r="J56" s="116"/>
      <c r="K56" s="765">
        <v>12</v>
      </c>
      <c r="L56" s="765">
        <v>12</v>
      </c>
      <c r="M56" s="782">
        <v>12</v>
      </c>
      <c r="N56" s="783"/>
      <c r="O56" s="114" t="s">
        <v>1973</v>
      </c>
      <c r="P56" s="124"/>
      <c r="Q56" s="790"/>
      <c r="R56" s="116">
        <f>IF(OR(IF(includep1,$B56&lt;=1), IF(includep2,$B56&lt;=2), IF(includep3,$B56&lt;=3), IF(includep4,$B56&lt;=4), IF(includep5,$B56&lt;=5)),MAX($R$48:R55)+1,"")</f>
        <v>7</v>
      </c>
      <c r="S56" s="747">
        <v>7</v>
      </c>
      <c r="T56" s="710" t="str">
        <f t="shared" si="3"/>
        <v>Fel Sharpening Stone</v>
      </c>
      <c r="U56" s="48"/>
      <c r="AD56" s="48"/>
    </row>
    <row r="57" spans="1:30" ht="11.1" customHeight="1">
      <c r="A57" s="10" t="s">
        <v>1282</v>
      </c>
      <c r="B57" s="114">
        <v>1</v>
      </c>
      <c r="C57" s="114"/>
      <c r="D57" s="114"/>
      <c r="E57" s="114"/>
      <c r="F57" s="115"/>
      <c r="G57" s="115"/>
      <c r="H57" s="114"/>
      <c r="I57" s="114"/>
      <c r="J57" s="116"/>
      <c r="K57" s="765"/>
      <c r="L57" s="765"/>
      <c r="M57" s="782"/>
      <c r="N57" s="783"/>
      <c r="O57" s="114" t="s">
        <v>1973</v>
      </c>
      <c r="P57" s="124"/>
      <c r="Q57" s="790">
        <f>IF(Talents!$O$18="Yes",'Damage Calc'!K49*($AA$2+mpsn)*$AD$2*$AE$2*(Talents!$C$23*0.04+1)*(1+(0.01*miseryimp)*misery)*(1+(thunderfury*thunderfurydps)),0)</f>
        <v>37.052271367551839</v>
      </c>
      <c r="R57" s="116">
        <f>IF(OR(IF(includep1,$B57&lt;=1), IF(includep2,$B57&lt;=2), IF(includep3,$B57&lt;=3), IF(includep4,$B57&lt;=4), IF(includep5,$B57&lt;=5)),MAX($R$48:R56)+1,"")</f>
        <v>8</v>
      </c>
      <c r="S57" s="747">
        <v>8</v>
      </c>
      <c r="T57" s="710"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5"/>
      <c r="L58" s="765"/>
      <c r="M58" s="782"/>
      <c r="N58" s="783"/>
      <c r="O58" s="114" t="s">
        <v>1973</v>
      </c>
      <c r="P58" s="124"/>
      <c r="Q58" s="790"/>
      <c r="R58" s="116" t="str">
        <f>IF(OR(IF(includep1,$B58&lt;=1), IF(includep2,$B58&lt;=2), IF(includep3,$B58&lt;=3), IF(includep4,$B58&lt;=4), IF(includep5,$B58&lt;=5)),MAX($R$48:R57)+1,"")</f>
        <v/>
      </c>
      <c r="S58" s="747">
        <v>9</v>
      </c>
      <c r="T58" s="710" t="str">
        <f t="shared" si="3"/>
        <v>Wound Poison</v>
      </c>
      <c r="U58" s="48"/>
      <c r="AD58" s="48"/>
    </row>
    <row r="59" spans="1:30" ht="11.1" customHeight="1">
      <c r="A59" s="10" t="s">
        <v>1284</v>
      </c>
      <c r="B59" s="114">
        <v>1</v>
      </c>
      <c r="C59" s="114"/>
      <c r="D59" s="114"/>
      <c r="E59" s="114"/>
      <c r="F59" s="115"/>
      <c r="G59" s="115"/>
      <c r="H59" s="114"/>
      <c r="I59" s="114"/>
      <c r="J59" s="116"/>
      <c r="K59" s="765"/>
      <c r="L59" s="765"/>
      <c r="M59" s="782"/>
      <c r="N59" s="783"/>
      <c r="O59" s="114" t="s">
        <v>1973</v>
      </c>
      <c r="P59" s="124"/>
      <c r="Q59" s="790">
        <f>IF(Talents!$O$18="Yes",'Damage Calc'!K49*($AA$2+mpsn)*$AG$2*$AH$2*(Talents!$C$23*0.04+1)*(1+(0.01*miseryimp)*misery)*(1+(thunderfury*thunderfurydps)),0)</f>
        <v>21.250567401978262</v>
      </c>
      <c r="R59" s="116">
        <f>IF(OR(IF(includep1,$B59&lt;=1), IF(includep2,$B59&lt;=2), IF(includep3,$B59&lt;=3), IF(includep4,$B59&lt;=4), IF(includep5,$B59&lt;=5)),MAX($R$48:R58)+1,"")</f>
        <v>9</v>
      </c>
      <c r="S59" s="747">
        <v>10</v>
      </c>
      <c r="T59" s="710" t="str">
        <f t="shared" si="3"/>
        <v/>
      </c>
      <c r="U59" s="48"/>
      <c r="AD59" s="48"/>
    </row>
    <row r="60" spans="1:30" ht="11.1" customHeight="1">
      <c r="A60" s="189"/>
      <c r="B60" s="21"/>
      <c r="C60" s="21"/>
      <c r="D60" s="21"/>
      <c r="E60" s="21"/>
      <c r="F60" s="21"/>
      <c r="G60" s="21"/>
      <c r="H60" s="21"/>
      <c r="I60" s="21"/>
      <c r="J60" s="21"/>
      <c r="K60" s="765"/>
      <c r="L60" s="765"/>
      <c r="M60" s="765"/>
      <c r="N60" s="21"/>
      <c r="O60" s="21"/>
      <c r="P60" s="21"/>
      <c r="Q60" s="21"/>
      <c r="R60" s="50"/>
      <c r="S60" s="50"/>
      <c r="T60" s="785"/>
      <c r="U60" s="48"/>
      <c r="AD60" s="48"/>
    </row>
    <row r="61" spans="1:30" ht="11.1" customHeight="1">
      <c r="A61" s="189"/>
      <c r="B61" s="21"/>
      <c r="C61" s="21"/>
      <c r="D61" s="21"/>
      <c r="E61" s="21"/>
      <c r="F61" s="21"/>
      <c r="G61" s="21"/>
      <c r="H61" s="21"/>
      <c r="I61" s="21"/>
      <c r="J61" s="21"/>
      <c r="K61" s="765"/>
      <c r="L61" s="765"/>
      <c r="M61" s="765"/>
      <c r="N61" s="21"/>
      <c r="O61" s="21"/>
      <c r="P61" s="21"/>
      <c r="Q61" s="21"/>
      <c r="R61" s="50"/>
      <c r="S61" s="50"/>
      <c r="T61" s="785"/>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6" t="s">
        <v>3101</v>
      </c>
      <c r="B1" s="696" t="s">
        <v>1213</v>
      </c>
      <c r="C1" s="696" t="s">
        <v>1214</v>
      </c>
      <c r="D1" s="696" t="s">
        <v>1215</v>
      </c>
      <c r="E1" s="696" t="s">
        <v>2139</v>
      </c>
      <c r="F1" s="696" t="s">
        <v>2138</v>
      </c>
      <c r="G1" s="696" t="s">
        <v>767</v>
      </c>
      <c r="H1" s="696" t="s">
        <v>264</v>
      </c>
      <c r="I1" s="696" t="s">
        <v>2423</v>
      </c>
      <c r="J1" s="696"/>
      <c r="K1" s="696"/>
      <c r="L1" s="696"/>
      <c r="M1" s="696"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0">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0"/>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1"/>
      <c r="H28" s="316"/>
      <c r="I28" s="316"/>
      <c r="J28" s="316"/>
      <c r="K28" s="316"/>
      <c r="L28" s="316"/>
      <c r="M28" s="316"/>
    </row>
    <row r="29" spans="1:14">
      <c r="A29" s="652"/>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3"/>
      <c r="B37" s="316"/>
      <c r="C37" s="316"/>
      <c r="D37" s="316"/>
      <c r="E37" s="316"/>
      <c r="F37" s="316"/>
      <c r="G37" s="316"/>
      <c r="H37" s="316"/>
      <c r="I37" s="316"/>
      <c r="J37" s="316"/>
      <c r="K37" s="316"/>
      <c r="L37" s="316"/>
      <c r="M37" s="316"/>
    </row>
    <row r="38" spans="1:14">
      <c r="A38" s="652"/>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3"/>
      <c r="B43" s="316"/>
      <c r="C43" s="316"/>
      <c r="D43" s="316"/>
      <c r="E43" s="316"/>
      <c r="F43" s="316"/>
      <c r="G43" s="316"/>
      <c r="H43" s="316"/>
      <c r="I43" s="316"/>
      <c r="J43" s="316"/>
      <c r="K43" s="316"/>
      <c r="L43" s="316"/>
      <c r="M43" s="316"/>
    </row>
    <row r="44" spans="1:14">
      <c r="A44" s="652"/>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3"/>
      <c r="B53" s="316"/>
      <c r="C53" s="316"/>
      <c r="D53" s="316"/>
      <c r="E53" s="316"/>
      <c r="F53" s="316"/>
      <c r="G53" s="316"/>
      <c r="H53" s="316"/>
      <c r="I53" s="316"/>
      <c r="J53" s="316"/>
      <c r="K53" s="316"/>
      <c r="L53" s="316"/>
      <c r="M53" s="316"/>
    </row>
    <row r="54" spans="1:14">
      <c r="A54" s="652"/>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3"/>
      <c r="B62" s="316"/>
      <c r="C62" s="316"/>
      <c r="D62" s="316"/>
      <c r="E62" s="316"/>
      <c r="F62" s="316"/>
      <c r="G62" s="316"/>
      <c r="H62" s="316"/>
      <c r="I62" s="316"/>
      <c r="J62" s="316"/>
      <c r="K62" s="316"/>
      <c r="L62" s="316"/>
      <c r="M62" s="316"/>
    </row>
    <row r="63" spans="1:14">
      <c r="A63" s="652"/>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4"/>
      <c r="B71" s="316"/>
      <c r="C71" s="316"/>
      <c r="D71" s="316"/>
      <c r="E71" s="316"/>
      <c r="F71" s="316"/>
      <c r="G71" s="316"/>
      <c r="H71" s="316"/>
      <c r="I71" s="316"/>
      <c r="J71" s="316"/>
      <c r="K71" s="316"/>
      <c r="L71" s="316"/>
      <c r="M71" s="316"/>
    </row>
    <row r="72" spans="1:14">
      <c r="A72" s="652"/>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5"/>
      <c r="B83" s="120"/>
      <c r="C83" s="120"/>
      <c r="D83" s="120"/>
      <c r="E83" s="120"/>
      <c r="F83" s="120"/>
      <c r="G83" s="120"/>
      <c r="H83" s="120"/>
      <c r="I83" s="120"/>
      <c r="J83" s="120"/>
      <c r="K83" s="120"/>
      <c r="L83" s="120"/>
      <c r="M83" s="120"/>
    </row>
    <row r="84" spans="1:13">
      <c r="A84" s="652"/>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5"/>
      <c r="B90" s="120"/>
      <c r="C90" s="120"/>
      <c r="D90" s="120"/>
      <c r="E90" s="120"/>
      <c r="F90" s="120"/>
      <c r="G90" s="120"/>
      <c r="H90" s="120"/>
      <c r="I90" s="120"/>
      <c r="J90" s="120"/>
      <c r="K90" s="120"/>
      <c r="L90" s="120"/>
      <c r="M90" s="120"/>
    </row>
    <row r="91" spans="1:13">
      <c r="A91" s="652"/>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2"/>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6"/>
  </cols>
  <sheetData>
    <row r="1" spans="1:12">
      <c r="A1" s="656">
        <v>29044</v>
      </c>
      <c r="B1" s="656" t="s">
        <v>461</v>
      </c>
      <c r="C1" s="656">
        <v>3003</v>
      </c>
      <c r="D1" s="656" t="s">
        <v>464</v>
      </c>
      <c r="E1" s="656">
        <v>24061</v>
      </c>
      <c r="F1" s="656" t="s">
        <v>303</v>
      </c>
      <c r="G1" s="656">
        <v>0</v>
      </c>
      <c r="H1" s="656" t="s">
        <v>1688</v>
      </c>
      <c r="J1" s="656" t="s">
        <v>1688</v>
      </c>
      <c r="K1" s="656">
        <v>25894</v>
      </c>
      <c r="L1" s="656" t="s">
        <v>293</v>
      </c>
    </row>
    <row r="2" spans="1:12">
      <c r="A2" s="656">
        <v>34679</v>
      </c>
      <c r="B2" s="656" t="s">
        <v>2028</v>
      </c>
      <c r="C2" s="656">
        <v>0</v>
      </c>
      <c r="D2" s="656" t="s">
        <v>1688</v>
      </c>
      <c r="E2" s="656">
        <v>0</v>
      </c>
      <c r="F2" s="656" t="s">
        <v>1688</v>
      </c>
      <c r="G2" s="656">
        <v>0</v>
      </c>
      <c r="H2" s="656" t="s">
        <v>1688</v>
      </c>
      <c r="I2" s="656">
        <v>0</v>
      </c>
      <c r="J2" s="656" t="s">
        <v>1688</v>
      </c>
    </row>
    <row r="3" spans="1:12">
      <c r="A3" s="656">
        <v>28755</v>
      </c>
      <c r="B3" s="656" t="s">
        <v>1444</v>
      </c>
      <c r="C3" s="656">
        <v>2996</v>
      </c>
      <c r="D3" s="656" t="s">
        <v>1408</v>
      </c>
      <c r="E3" s="656">
        <v>24061</v>
      </c>
      <c r="F3" s="656" t="s">
        <v>303</v>
      </c>
      <c r="G3" s="656">
        <v>24051</v>
      </c>
      <c r="H3" s="656" t="s">
        <v>1982</v>
      </c>
      <c r="I3" s="656">
        <v>0</v>
      </c>
      <c r="J3" s="656" t="s">
        <v>1688</v>
      </c>
    </row>
    <row r="4" spans="1:12">
      <c r="A4" s="656">
        <v>11840</v>
      </c>
      <c r="B4" s="656" t="s">
        <v>1688</v>
      </c>
      <c r="C4" s="656">
        <v>0</v>
      </c>
      <c r="D4" s="656" t="s">
        <v>1688</v>
      </c>
      <c r="E4" s="656">
        <v>0</v>
      </c>
      <c r="F4" s="656" t="s">
        <v>1688</v>
      </c>
      <c r="G4" s="656">
        <v>0</v>
      </c>
      <c r="H4" s="656" t="s">
        <v>1688</v>
      </c>
      <c r="I4" s="656">
        <v>0</v>
      </c>
      <c r="J4" s="656" t="s">
        <v>1688</v>
      </c>
    </row>
    <row r="5" spans="1:12">
      <c r="A5" s="656">
        <v>25831</v>
      </c>
      <c r="B5" s="656" t="s">
        <v>815</v>
      </c>
      <c r="C5" s="656">
        <v>0</v>
      </c>
      <c r="D5" s="656" t="s">
        <v>1688</v>
      </c>
      <c r="E5" s="656">
        <v>24061</v>
      </c>
      <c r="F5" s="656" t="s">
        <v>303</v>
      </c>
      <c r="G5" s="656">
        <v>24061</v>
      </c>
      <c r="H5" s="656" t="s">
        <v>303</v>
      </c>
      <c r="I5" s="656">
        <v>24051</v>
      </c>
      <c r="J5" s="656" t="s">
        <v>1982</v>
      </c>
    </row>
    <row r="6" spans="1:12">
      <c r="A6" s="656">
        <v>28750</v>
      </c>
      <c r="B6" s="656" t="s">
        <v>1522</v>
      </c>
      <c r="C6" s="656">
        <v>0</v>
      </c>
      <c r="D6" s="656" t="s">
        <v>1688</v>
      </c>
      <c r="E6" s="656">
        <v>24061</v>
      </c>
      <c r="F6" s="656" t="s">
        <v>303</v>
      </c>
      <c r="G6" s="656">
        <v>24061</v>
      </c>
      <c r="H6" s="656" t="s">
        <v>303</v>
      </c>
      <c r="I6" s="656">
        <v>0</v>
      </c>
      <c r="J6" s="656" t="s">
        <v>1688</v>
      </c>
    </row>
    <row r="7" spans="1:12">
      <c r="A7" s="656">
        <v>29046</v>
      </c>
      <c r="B7" s="656" t="s">
        <v>482</v>
      </c>
      <c r="C7" s="656">
        <v>3010</v>
      </c>
      <c r="D7" s="656" t="s">
        <v>1413</v>
      </c>
      <c r="E7" s="656">
        <v>0</v>
      </c>
      <c r="F7" s="656" t="s">
        <v>1688</v>
      </c>
      <c r="G7" s="656">
        <v>0</v>
      </c>
      <c r="H7" s="656" t="s">
        <v>1688</v>
      </c>
      <c r="I7" s="656">
        <v>0</v>
      </c>
      <c r="J7" s="656" t="s">
        <v>1688</v>
      </c>
    </row>
    <row r="8" spans="1:12">
      <c r="A8" s="656">
        <v>28545</v>
      </c>
      <c r="B8" s="656" t="s">
        <v>255</v>
      </c>
      <c r="C8" s="656">
        <v>2657</v>
      </c>
      <c r="D8" s="656" t="s">
        <v>257</v>
      </c>
      <c r="E8" s="656">
        <v>24061</v>
      </c>
      <c r="F8" s="656" t="s">
        <v>303</v>
      </c>
      <c r="G8" s="656">
        <v>24051</v>
      </c>
      <c r="H8" s="656" t="s">
        <v>1982</v>
      </c>
      <c r="I8" s="656">
        <v>0</v>
      </c>
      <c r="J8" s="656" t="s">
        <v>1688</v>
      </c>
    </row>
    <row r="9" spans="1:12">
      <c r="A9" s="656">
        <v>29966</v>
      </c>
      <c r="B9" s="656" t="s">
        <v>1304</v>
      </c>
      <c r="C9" s="656">
        <v>1593</v>
      </c>
      <c r="D9" s="656" t="s">
        <v>1270</v>
      </c>
      <c r="E9" s="656">
        <v>31863</v>
      </c>
      <c r="F9" s="656" t="s">
        <v>2285</v>
      </c>
      <c r="G9" s="656">
        <v>0</v>
      </c>
      <c r="H9" s="656" t="s">
        <v>1688</v>
      </c>
      <c r="I9" s="656">
        <v>0</v>
      </c>
      <c r="J9" s="656" t="s">
        <v>1688</v>
      </c>
    </row>
    <row r="10" spans="1:12">
      <c r="A10" s="656">
        <v>33539</v>
      </c>
      <c r="B10" s="656" t="s">
        <v>1433</v>
      </c>
      <c r="C10" s="656">
        <v>2564</v>
      </c>
      <c r="D10" s="656" t="s">
        <v>2076</v>
      </c>
      <c r="E10" s="656">
        <v>0</v>
      </c>
      <c r="F10" s="656" t="s">
        <v>1688</v>
      </c>
      <c r="G10" s="656">
        <v>0</v>
      </c>
      <c r="H10" s="656" t="s">
        <v>1688</v>
      </c>
      <c r="I10" s="656">
        <v>0</v>
      </c>
      <c r="J10" s="656" t="s">
        <v>1688</v>
      </c>
    </row>
    <row r="11" spans="1:12">
      <c r="A11" s="656">
        <v>33919</v>
      </c>
      <c r="B11" s="656" t="s">
        <v>159</v>
      </c>
      <c r="C11" s="656">
        <v>0</v>
      </c>
      <c r="D11" s="656" t="s">
        <v>1688</v>
      </c>
      <c r="E11" s="656">
        <v>0</v>
      </c>
      <c r="F11" s="656" t="s">
        <v>1688</v>
      </c>
      <c r="G11" s="656">
        <v>0</v>
      </c>
      <c r="H11" s="656" t="s">
        <v>1688</v>
      </c>
      <c r="I11" s="656">
        <v>0</v>
      </c>
      <c r="J11" s="656" t="s">
        <v>1688</v>
      </c>
    </row>
    <row r="12" spans="1:12">
      <c r="A12" s="656">
        <v>33057</v>
      </c>
      <c r="B12" s="656" t="s">
        <v>2468</v>
      </c>
      <c r="C12" s="656">
        <v>0</v>
      </c>
      <c r="D12" s="656" t="s">
        <v>1688</v>
      </c>
      <c r="E12" s="656">
        <v>0</v>
      </c>
      <c r="F12" s="656" t="s">
        <v>1688</v>
      </c>
      <c r="G12" s="656">
        <v>0</v>
      </c>
      <c r="H12" s="656" t="s">
        <v>1688</v>
      </c>
      <c r="I12" s="656">
        <v>0</v>
      </c>
      <c r="J12" s="656" t="s">
        <v>1688</v>
      </c>
    </row>
    <row r="13" spans="1:12">
      <c r="A13" s="656">
        <v>28041</v>
      </c>
      <c r="B13" s="656" t="s">
        <v>184</v>
      </c>
      <c r="C13" s="656">
        <v>0</v>
      </c>
      <c r="D13" s="656" t="s">
        <v>1688</v>
      </c>
      <c r="E13" s="656">
        <v>0</v>
      </c>
      <c r="F13" s="656" t="s">
        <v>1688</v>
      </c>
      <c r="G13" s="656">
        <v>0</v>
      </c>
      <c r="H13" s="656" t="s">
        <v>1688</v>
      </c>
      <c r="I13" s="656">
        <v>0</v>
      </c>
      <c r="J13" s="656" t="s">
        <v>1688</v>
      </c>
    </row>
    <row r="14" spans="1:12">
      <c r="A14" s="656">
        <v>34472</v>
      </c>
      <c r="B14" s="656" t="s">
        <v>990</v>
      </c>
      <c r="C14" s="656">
        <v>0</v>
      </c>
      <c r="D14" s="656" t="s">
        <v>1688</v>
      </c>
      <c r="E14" s="656">
        <v>0</v>
      </c>
      <c r="F14" s="656" t="s">
        <v>1688</v>
      </c>
      <c r="G14" s="656">
        <v>0</v>
      </c>
      <c r="H14" s="656" t="s">
        <v>1688</v>
      </c>
      <c r="I14" s="656">
        <v>0</v>
      </c>
      <c r="J14" s="656" t="s">
        <v>1688</v>
      </c>
    </row>
    <row r="15" spans="1:12">
      <c r="A15" s="656">
        <v>27519</v>
      </c>
      <c r="B15" s="656" t="s">
        <v>1412</v>
      </c>
      <c r="C15" s="656">
        <v>0</v>
      </c>
      <c r="D15" s="656" t="s">
        <v>1688</v>
      </c>
      <c r="E15" s="656">
        <v>0</v>
      </c>
      <c r="F15" s="656" t="s">
        <v>1688</v>
      </c>
      <c r="G15" s="656">
        <v>0</v>
      </c>
      <c r="H15" s="656" t="s">
        <v>1688</v>
      </c>
      <c r="I15" s="656">
        <v>0</v>
      </c>
      <c r="J15" s="656" t="s">
        <v>1688</v>
      </c>
    </row>
    <row r="16" spans="1:12">
      <c r="A16" s="656">
        <v>28295</v>
      </c>
      <c r="B16" s="656" t="s">
        <v>1384</v>
      </c>
      <c r="C16" s="656">
        <v>2673</v>
      </c>
      <c r="D16" s="656" t="s">
        <v>1228</v>
      </c>
      <c r="E16" s="656">
        <v>0</v>
      </c>
      <c r="F16" s="656" t="s">
        <v>1688</v>
      </c>
      <c r="G16" s="656">
        <v>0</v>
      </c>
      <c r="H16" s="656" t="s">
        <v>1688</v>
      </c>
      <c r="I16" s="656">
        <v>0</v>
      </c>
      <c r="J16" s="656" t="s">
        <v>1688</v>
      </c>
    </row>
    <row r="17" spans="1:10">
      <c r="A17" s="656">
        <v>32027</v>
      </c>
      <c r="B17" s="656" t="s">
        <v>521</v>
      </c>
      <c r="C17" s="656">
        <v>2673</v>
      </c>
      <c r="D17" s="656" t="s">
        <v>1228</v>
      </c>
      <c r="E17" s="656">
        <v>0</v>
      </c>
      <c r="F17" s="656" t="s">
        <v>1688</v>
      </c>
      <c r="G17" s="656">
        <v>0</v>
      </c>
      <c r="H17" s="656" t="s">
        <v>1688</v>
      </c>
      <c r="I17" s="656">
        <v>0</v>
      </c>
      <c r="J17" s="656" t="s">
        <v>1688</v>
      </c>
    </row>
    <row r="18" spans="1:10">
      <c r="A18" s="656">
        <v>28826</v>
      </c>
      <c r="B18" s="656" t="s">
        <v>1150</v>
      </c>
      <c r="C18" s="656">
        <v>0</v>
      </c>
      <c r="D18" s="656" t="s">
        <v>1688</v>
      </c>
      <c r="E18" s="656">
        <v>0</v>
      </c>
      <c r="F18" s="656" t="s">
        <v>1688</v>
      </c>
      <c r="G18" s="656">
        <v>0</v>
      </c>
      <c r="H18" s="656" t="s">
        <v>1688</v>
      </c>
      <c r="I18" s="656">
        <v>0</v>
      </c>
      <c r="J18" s="656" t="s">
        <v>1688</v>
      </c>
    </row>
    <row r="19" spans="1:10">
      <c r="A19" s="656">
        <v>35221</v>
      </c>
      <c r="B19" s="656" t="s">
        <v>1688</v>
      </c>
      <c r="C19" s="656">
        <v>0</v>
      </c>
      <c r="D19" s="656" t="s">
        <v>1688</v>
      </c>
      <c r="E19" s="656">
        <v>0</v>
      </c>
      <c r="F19" s="656" t="s">
        <v>1688</v>
      </c>
      <c r="G19" s="656">
        <v>0</v>
      </c>
      <c r="H19" s="656" t="s">
        <v>1688</v>
      </c>
      <c r="I19" s="656">
        <v>0</v>
      </c>
      <c r="J19" s="656" t="s">
        <v>1688</v>
      </c>
    </row>
    <row r="20" spans="1:10">
      <c r="B20" s="656" t="s">
        <v>1688</v>
      </c>
      <c r="D20" s="656" t="s">
        <v>1688</v>
      </c>
      <c r="F20" s="656" t="s">
        <v>1688</v>
      </c>
      <c r="H20" s="656" t="s">
        <v>1688</v>
      </c>
      <c r="J20" s="656" t="s">
        <v>1688</v>
      </c>
    </row>
    <row r="21" spans="1:10">
      <c r="B21" s="656" t="s">
        <v>1688</v>
      </c>
      <c r="D21" s="656" t="s">
        <v>1688</v>
      </c>
      <c r="F21" s="656" t="s">
        <v>1688</v>
      </c>
      <c r="H21" s="656" t="s">
        <v>1688</v>
      </c>
      <c r="J21" s="656" t="s">
        <v>1688</v>
      </c>
    </row>
    <row r="23" spans="1:10">
      <c r="A23" s="657" t="s">
        <v>2469</v>
      </c>
    </row>
    <row r="24" spans="1:10">
      <c r="A24" s="656"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58" t="s">
        <v>1693</v>
      </c>
      <c r="C2" s="6" t="b">
        <v>0</v>
      </c>
      <c r="D2" s="6">
        <v>2</v>
      </c>
    </row>
    <row r="3" spans="1:4">
      <c r="A3" s="253">
        <v>28595</v>
      </c>
      <c r="B3" s="658" t="s">
        <v>1694</v>
      </c>
      <c r="C3" s="6" t="b">
        <v>0</v>
      </c>
      <c r="D3" s="6">
        <v>3</v>
      </c>
    </row>
    <row r="4" spans="1:4">
      <c r="A4" s="253">
        <v>32197</v>
      </c>
      <c r="B4" s="658" t="s">
        <v>1695</v>
      </c>
      <c r="C4" s="6" t="b">
        <v>0</v>
      </c>
      <c r="D4" s="6">
        <v>4</v>
      </c>
    </row>
    <row r="5" spans="1:4">
      <c r="A5" s="253">
        <v>35487</v>
      </c>
      <c r="B5" s="658" t="s">
        <v>808</v>
      </c>
      <c r="C5" s="6" t="b">
        <v>0</v>
      </c>
      <c r="D5" s="6">
        <v>5</v>
      </c>
    </row>
    <row r="6" spans="1:4">
      <c r="A6" s="253">
        <v>24031</v>
      </c>
      <c r="B6" s="658" t="s">
        <v>1696</v>
      </c>
      <c r="C6" s="6" t="b">
        <v>0</v>
      </c>
      <c r="D6" s="6">
        <v>6</v>
      </c>
    </row>
    <row r="7" spans="1:4">
      <c r="A7" s="253">
        <v>33131</v>
      </c>
      <c r="B7" s="658" t="s">
        <v>1621</v>
      </c>
      <c r="C7" s="6" t="b">
        <v>0</v>
      </c>
      <c r="D7" s="6">
        <v>7</v>
      </c>
    </row>
    <row r="8" spans="1:4">
      <c r="A8" s="253">
        <v>23097</v>
      </c>
      <c r="B8" s="658" t="s">
        <v>1697</v>
      </c>
      <c r="C8" s="6" t="b">
        <v>0</v>
      </c>
      <c r="D8" s="6">
        <v>8</v>
      </c>
    </row>
    <row r="9" spans="1:4">
      <c r="A9" s="253">
        <v>32194</v>
      </c>
      <c r="B9" s="658" t="s">
        <v>1921</v>
      </c>
      <c r="C9" s="6" t="b">
        <v>0</v>
      </c>
      <c r="D9" s="6">
        <v>9</v>
      </c>
    </row>
    <row r="10" spans="1:4">
      <c r="A10" s="253">
        <v>24028</v>
      </c>
      <c r="B10" s="658" t="s">
        <v>1922</v>
      </c>
      <c r="C10" s="6" t="b">
        <v>0</v>
      </c>
      <c r="D10" s="6">
        <v>10</v>
      </c>
    </row>
    <row r="11" spans="1:4">
      <c r="A11" s="253">
        <v>32199</v>
      </c>
      <c r="B11" s="658" t="s">
        <v>86</v>
      </c>
      <c r="C11" s="6" t="b">
        <v>1</v>
      </c>
      <c r="D11" s="6">
        <v>11</v>
      </c>
    </row>
    <row r="12" spans="1:4">
      <c r="A12" s="253">
        <v>24036</v>
      </c>
      <c r="B12" s="658" t="s">
        <v>87</v>
      </c>
      <c r="C12" s="6" t="b">
        <v>1</v>
      </c>
      <c r="D12" s="6">
        <v>12</v>
      </c>
    </row>
    <row r="13" spans="1:4">
      <c r="A13" s="253">
        <v>28360</v>
      </c>
      <c r="B13" s="658" t="s">
        <v>1207</v>
      </c>
      <c r="C13" s="6" t="b">
        <v>0</v>
      </c>
      <c r="D13" s="6">
        <v>13</v>
      </c>
    </row>
    <row r="14" spans="1:4">
      <c r="A14" s="253">
        <v>28361</v>
      </c>
      <c r="B14" s="658" t="s">
        <v>603</v>
      </c>
      <c r="C14" s="6" t="b">
        <v>0</v>
      </c>
      <c r="D14" s="6">
        <v>14</v>
      </c>
    </row>
    <row r="15" spans="1:4">
      <c r="A15" s="253">
        <v>32198</v>
      </c>
      <c r="B15" s="658" t="s">
        <v>454</v>
      </c>
      <c r="C15" s="6" t="b">
        <v>1</v>
      </c>
      <c r="D15" s="6">
        <v>15</v>
      </c>
    </row>
    <row r="16" spans="1:4">
      <c r="A16" s="253">
        <v>24032</v>
      </c>
      <c r="B16" s="658" t="s">
        <v>455</v>
      </c>
      <c r="C16" s="6" t="b">
        <v>1</v>
      </c>
      <c r="D16" s="6">
        <v>16</v>
      </c>
    </row>
    <row r="17" spans="1:4">
      <c r="A17" s="258">
        <v>31863</v>
      </c>
      <c r="B17" s="659" t="s">
        <v>2285</v>
      </c>
      <c r="C17" s="6" t="b">
        <v>0</v>
      </c>
      <c r="D17" s="6">
        <v>19</v>
      </c>
    </row>
    <row r="18" spans="1:4">
      <c r="A18" s="258">
        <v>31862</v>
      </c>
      <c r="B18" s="659" t="s">
        <v>1495</v>
      </c>
      <c r="C18" s="6" t="b">
        <v>0</v>
      </c>
      <c r="D18" s="6">
        <v>20</v>
      </c>
    </row>
    <row r="19" spans="1:4">
      <c r="A19" s="258">
        <v>32213</v>
      </c>
      <c r="B19" s="659" t="s">
        <v>1717</v>
      </c>
      <c r="C19" s="6" t="b">
        <v>0</v>
      </c>
      <c r="D19" s="6">
        <v>21</v>
      </c>
    </row>
    <row r="20" spans="1:4">
      <c r="A20" s="258">
        <v>30574</v>
      </c>
      <c r="B20" s="659" t="s">
        <v>2286</v>
      </c>
      <c r="C20" s="6" t="b">
        <v>0</v>
      </c>
      <c r="D20" s="6">
        <v>22</v>
      </c>
    </row>
    <row r="21" spans="1:4">
      <c r="A21" s="258">
        <v>30566</v>
      </c>
      <c r="B21" s="659" t="s">
        <v>88</v>
      </c>
      <c r="C21" s="6" t="b">
        <v>1</v>
      </c>
      <c r="D21" s="6">
        <v>23</v>
      </c>
    </row>
    <row r="22" spans="1:4">
      <c r="A22" s="258">
        <v>31118</v>
      </c>
      <c r="B22" s="659" t="s">
        <v>2287</v>
      </c>
      <c r="C22" s="6" t="b">
        <v>0</v>
      </c>
      <c r="D22" s="6">
        <v>24</v>
      </c>
    </row>
    <row r="23" spans="1:4">
      <c r="A23" s="258">
        <v>30563</v>
      </c>
      <c r="B23" s="659" t="s">
        <v>81</v>
      </c>
      <c r="C23" s="6" t="b">
        <v>1</v>
      </c>
      <c r="D23" s="6">
        <v>25</v>
      </c>
    </row>
    <row r="24" spans="1:4">
      <c r="A24" s="258">
        <v>30563</v>
      </c>
      <c r="B24" s="659" t="s">
        <v>2288</v>
      </c>
      <c r="C24" s="6" t="b">
        <v>1</v>
      </c>
      <c r="D24" s="6">
        <v>26</v>
      </c>
    </row>
    <row r="25" spans="1:4">
      <c r="A25" s="258">
        <v>24055</v>
      </c>
      <c r="B25" s="659" t="s">
        <v>1978</v>
      </c>
      <c r="C25" s="6" t="b">
        <v>0</v>
      </c>
      <c r="D25" s="6">
        <v>27</v>
      </c>
    </row>
    <row r="26" spans="1:4">
      <c r="A26" s="258">
        <v>23110</v>
      </c>
      <c r="B26" s="659" t="s">
        <v>1979</v>
      </c>
      <c r="C26" s="6" t="b">
        <v>0</v>
      </c>
      <c r="D26" s="6">
        <v>28</v>
      </c>
    </row>
    <row r="27" spans="1:4">
      <c r="A27" s="258">
        <v>32212</v>
      </c>
      <c r="B27" s="659" t="s">
        <v>1980</v>
      </c>
      <c r="C27" s="6" t="b">
        <v>0</v>
      </c>
      <c r="D27" s="6">
        <v>29</v>
      </c>
    </row>
    <row r="28" spans="1:4">
      <c r="A28" s="258">
        <v>30549</v>
      </c>
      <c r="B28" s="659" t="s">
        <v>1349</v>
      </c>
      <c r="C28" s="6" t="b">
        <v>0</v>
      </c>
      <c r="D28" s="6">
        <v>30</v>
      </c>
    </row>
    <row r="29" spans="1:4">
      <c r="A29" s="258">
        <v>30546</v>
      </c>
      <c r="B29" s="659" t="s">
        <v>80</v>
      </c>
      <c r="C29" s="6" t="b">
        <v>0</v>
      </c>
      <c r="D29" s="6">
        <v>31</v>
      </c>
    </row>
    <row r="30" spans="1:4">
      <c r="A30" s="258">
        <v>32634</v>
      </c>
      <c r="B30" s="659" t="s">
        <v>1497</v>
      </c>
      <c r="C30" s="6" t="b">
        <v>0</v>
      </c>
      <c r="D30" s="6">
        <v>32</v>
      </c>
    </row>
    <row r="31" spans="1:4">
      <c r="A31" s="263">
        <v>34256</v>
      </c>
      <c r="B31" s="660" t="s">
        <v>1494</v>
      </c>
      <c r="C31" s="6" t="b">
        <v>1</v>
      </c>
      <c r="D31" s="6">
        <v>35</v>
      </c>
    </row>
    <row r="32" spans="1:4">
      <c r="A32" s="263">
        <v>34831</v>
      </c>
      <c r="B32" s="660" t="s">
        <v>84</v>
      </c>
      <c r="C32" s="6" t="b">
        <v>1</v>
      </c>
      <c r="D32" s="6">
        <v>36</v>
      </c>
    </row>
    <row r="33" spans="1:4">
      <c r="A33" s="263">
        <v>33135</v>
      </c>
      <c r="B33" s="660" t="s">
        <v>456</v>
      </c>
      <c r="C33" s="6" t="b">
        <v>1</v>
      </c>
      <c r="D33" s="6">
        <v>37</v>
      </c>
    </row>
    <row r="34" spans="1:4">
      <c r="A34" s="263">
        <v>23118</v>
      </c>
      <c r="B34" s="660" t="s">
        <v>457</v>
      </c>
      <c r="C34" s="6" t="b">
        <v>1</v>
      </c>
      <c r="D34" s="6">
        <v>38</v>
      </c>
    </row>
    <row r="35" spans="1:4">
      <c r="A35" s="263">
        <v>32200</v>
      </c>
      <c r="B35" s="660" t="s">
        <v>1708</v>
      </c>
      <c r="C35" s="6" t="b">
        <v>1</v>
      </c>
      <c r="D35" s="6">
        <v>39</v>
      </c>
    </row>
    <row r="36" spans="1:4">
      <c r="A36" s="263">
        <v>24033</v>
      </c>
      <c r="B36" s="660" t="s">
        <v>1709</v>
      </c>
      <c r="C36" s="6" t="b">
        <v>1</v>
      </c>
      <c r="D36" s="6">
        <v>40</v>
      </c>
    </row>
    <row r="37" spans="1:4">
      <c r="A37" s="268">
        <v>27786</v>
      </c>
      <c r="B37" s="661" t="s">
        <v>604</v>
      </c>
      <c r="C37" s="6" t="b">
        <v>0</v>
      </c>
      <c r="D37" s="6">
        <v>43</v>
      </c>
    </row>
    <row r="38" spans="1:4">
      <c r="A38" s="268">
        <v>27809</v>
      </c>
      <c r="B38" s="661" t="s">
        <v>1492</v>
      </c>
      <c r="C38" s="6" t="b">
        <v>0</v>
      </c>
      <c r="D38" s="6">
        <v>44</v>
      </c>
    </row>
    <row r="39" spans="1:4">
      <c r="A39" s="268">
        <v>30590</v>
      </c>
      <c r="B39" s="661" t="s">
        <v>89</v>
      </c>
      <c r="C39" s="6" t="b">
        <v>1</v>
      </c>
      <c r="D39" s="6">
        <v>45</v>
      </c>
    </row>
    <row r="40" spans="1:4">
      <c r="A40" s="268">
        <v>23105</v>
      </c>
      <c r="B40" s="661" t="s">
        <v>1863</v>
      </c>
      <c r="C40" s="6" t="b">
        <v>1</v>
      </c>
      <c r="D40" s="6">
        <v>46</v>
      </c>
    </row>
    <row r="41" spans="1:4">
      <c r="A41" s="268">
        <v>32223</v>
      </c>
      <c r="B41" s="661" t="s">
        <v>1857</v>
      </c>
      <c r="C41" s="6" t="b">
        <v>1</v>
      </c>
      <c r="D41" s="6">
        <v>47</v>
      </c>
    </row>
    <row r="42" spans="1:4">
      <c r="A42" s="268">
        <v>24062</v>
      </c>
      <c r="B42" s="661" t="s">
        <v>1862</v>
      </c>
      <c r="C42" s="6" t="b">
        <v>1</v>
      </c>
      <c r="D42" s="6">
        <v>48</v>
      </c>
    </row>
    <row r="43" spans="1:4">
      <c r="A43" s="268">
        <v>30602</v>
      </c>
      <c r="B43" s="661" t="s">
        <v>1710</v>
      </c>
      <c r="C43" s="6" t="b">
        <v>0</v>
      </c>
      <c r="D43" s="6">
        <v>49</v>
      </c>
    </row>
    <row r="44" spans="1:4">
      <c r="A44" s="268">
        <v>23104</v>
      </c>
      <c r="B44" s="661" t="s">
        <v>1711</v>
      </c>
      <c r="C44" s="6" t="b">
        <v>0</v>
      </c>
      <c r="D44" s="6">
        <v>50</v>
      </c>
    </row>
    <row r="45" spans="1:4">
      <c r="A45" s="268">
        <v>32226</v>
      </c>
      <c r="B45" s="661" t="s">
        <v>1712</v>
      </c>
      <c r="C45" s="6" t="b">
        <v>0</v>
      </c>
      <c r="D45" s="6">
        <v>51</v>
      </c>
    </row>
    <row r="46" spans="1:4">
      <c r="A46" s="268">
        <v>24067</v>
      </c>
      <c r="B46" s="661" t="s">
        <v>1713</v>
      </c>
      <c r="C46" s="6" t="b">
        <v>0</v>
      </c>
      <c r="D46" s="6">
        <v>52</v>
      </c>
    </row>
    <row r="47" spans="1:4">
      <c r="A47" s="268">
        <v>30592</v>
      </c>
      <c r="B47" s="661" t="s">
        <v>1714</v>
      </c>
      <c r="C47" s="6" t="b">
        <v>1</v>
      </c>
      <c r="D47" s="6">
        <v>53</v>
      </c>
    </row>
    <row r="48" spans="1:4">
      <c r="A48" s="268">
        <v>35758</v>
      </c>
      <c r="B48" s="661" t="s">
        <v>1858</v>
      </c>
      <c r="C48" s="6" t="b">
        <v>1</v>
      </c>
      <c r="D48" s="6">
        <v>54</v>
      </c>
    </row>
    <row r="49" spans="1:4">
      <c r="A49" s="268">
        <v>33782</v>
      </c>
      <c r="B49" s="661" t="s">
        <v>1498</v>
      </c>
      <c r="C49" s="6" t="b">
        <v>1</v>
      </c>
      <c r="D49" s="6">
        <v>55</v>
      </c>
    </row>
    <row r="50" spans="1:4">
      <c r="A50" s="273">
        <v>33144</v>
      </c>
      <c r="B50" s="662" t="s">
        <v>1866</v>
      </c>
      <c r="C50" s="6" t="b">
        <v>1</v>
      </c>
      <c r="D50" s="6">
        <v>58</v>
      </c>
    </row>
    <row r="51" spans="1:4">
      <c r="A51" s="273">
        <v>24053</v>
      </c>
      <c r="B51" s="662" t="s">
        <v>1499</v>
      </c>
      <c r="C51" s="6" t="b">
        <v>1</v>
      </c>
      <c r="D51" s="6">
        <v>59</v>
      </c>
    </row>
    <row r="52" spans="1:4">
      <c r="A52" s="273">
        <v>32209</v>
      </c>
      <c r="B52" s="662" t="s">
        <v>1981</v>
      </c>
      <c r="C52" s="6" t="b">
        <v>1</v>
      </c>
      <c r="D52" s="6">
        <v>60</v>
      </c>
    </row>
    <row r="53" spans="1:4">
      <c r="A53" s="273">
        <v>24051</v>
      </c>
      <c r="B53" s="662" t="s">
        <v>1982</v>
      </c>
      <c r="C53" s="6" t="b">
        <v>0</v>
      </c>
      <c r="D53" s="6">
        <v>61</v>
      </c>
    </row>
    <row r="54" spans="1:4">
      <c r="A54" s="273">
        <v>23116</v>
      </c>
      <c r="B54" s="662" t="s">
        <v>1983</v>
      </c>
      <c r="C54" s="6" t="b">
        <v>0</v>
      </c>
      <c r="D54" s="6">
        <v>62</v>
      </c>
    </row>
    <row r="55" spans="1:4">
      <c r="A55" s="273">
        <v>32206</v>
      </c>
      <c r="B55" s="662" t="s">
        <v>1984</v>
      </c>
      <c r="C55" s="6" t="b">
        <v>0</v>
      </c>
      <c r="D55" s="6">
        <v>63</v>
      </c>
    </row>
    <row r="56" spans="1:4">
      <c r="A56" s="273">
        <v>24048</v>
      </c>
      <c r="B56" s="662" t="s">
        <v>558</v>
      </c>
      <c r="C56" s="6" t="b">
        <v>0</v>
      </c>
      <c r="D56" s="6">
        <v>64</v>
      </c>
    </row>
    <row r="57" spans="1:4">
      <c r="A57" s="273">
        <v>28290</v>
      </c>
      <c r="B57" s="662" t="s">
        <v>559</v>
      </c>
      <c r="C57" s="6" t="b">
        <v>0</v>
      </c>
      <c r="D57" s="6">
        <v>65</v>
      </c>
    </row>
    <row r="58" spans="1:4">
      <c r="A58" s="273">
        <v>32205</v>
      </c>
      <c r="B58" s="662" t="s">
        <v>2042</v>
      </c>
      <c r="C58" s="6" t="b">
        <v>0</v>
      </c>
      <c r="D58" s="6">
        <v>66</v>
      </c>
    </row>
    <row r="59" spans="1:4">
      <c r="A59" s="273">
        <v>28119</v>
      </c>
      <c r="B59" s="662" t="s">
        <v>1418</v>
      </c>
      <c r="C59" s="6" t="b">
        <v>0</v>
      </c>
      <c r="D59" s="6">
        <v>67</v>
      </c>
    </row>
    <row r="60" spans="1:4">
      <c r="A60" s="273">
        <v>33143</v>
      </c>
      <c r="B60" s="662" t="s">
        <v>1666</v>
      </c>
      <c r="C60" s="6" t="b">
        <v>0</v>
      </c>
      <c r="D60" s="6">
        <v>68</v>
      </c>
    </row>
    <row r="61" spans="1:4">
      <c r="A61" s="273">
        <v>27679</v>
      </c>
      <c r="B61" s="662" t="s">
        <v>1419</v>
      </c>
      <c r="C61" s="6" t="b">
        <v>1</v>
      </c>
      <c r="D61" s="6">
        <v>69</v>
      </c>
    </row>
    <row r="62" spans="1:4">
      <c r="A62" s="273">
        <v>24052</v>
      </c>
      <c r="B62" s="662" t="s">
        <v>1871</v>
      </c>
      <c r="C62" s="6" t="b">
        <v>1</v>
      </c>
      <c r="D62" s="6">
        <v>70</v>
      </c>
    </row>
    <row r="63" spans="1:4">
      <c r="A63" s="273">
        <v>23115</v>
      </c>
      <c r="B63" s="662" t="s">
        <v>1872</v>
      </c>
      <c r="C63" s="6" t="b">
        <v>1</v>
      </c>
      <c r="D63" s="6">
        <v>71</v>
      </c>
    </row>
    <row r="64" spans="1:4">
      <c r="A64" s="273">
        <v>32208</v>
      </c>
      <c r="B64" s="662" t="s">
        <v>1868</v>
      </c>
      <c r="C64" s="6" t="b">
        <v>1</v>
      </c>
      <c r="D64" s="6">
        <v>72</v>
      </c>
    </row>
    <row r="65" spans="1:4">
      <c r="A65" s="278">
        <v>30565</v>
      </c>
      <c r="B65" s="663" t="s">
        <v>296</v>
      </c>
      <c r="C65" s="6" t="b">
        <v>0</v>
      </c>
      <c r="D65" s="6">
        <v>75</v>
      </c>
    </row>
    <row r="66" spans="1:4">
      <c r="A66" s="278">
        <v>30601</v>
      </c>
      <c r="B66" s="663" t="s">
        <v>1875</v>
      </c>
      <c r="C66" s="6" t="b">
        <v>1</v>
      </c>
      <c r="D66" s="6">
        <v>76</v>
      </c>
    </row>
    <row r="67" spans="1:4">
      <c r="A67" s="278">
        <v>30587</v>
      </c>
      <c r="B67" s="663" t="s">
        <v>1876</v>
      </c>
      <c r="C67" s="6" t="b">
        <v>0</v>
      </c>
      <c r="D67" s="6">
        <v>77</v>
      </c>
    </row>
    <row r="68" spans="1:4">
      <c r="A68" s="278">
        <v>30582</v>
      </c>
      <c r="B68" s="663" t="s">
        <v>297</v>
      </c>
      <c r="C68" s="6" t="b">
        <v>0</v>
      </c>
      <c r="D68" s="6">
        <v>78</v>
      </c>
    </row>
    <row r="69" spans="1:4">
      <c r="A69" s="278">
        <v>30591</v>
      </c>
      <c r="B69" s="663" t="s">
        <v>298</v>
      </c>
      <c r="C69" s="6" t="b">
        <v>0</v>
      </c>
      <c r="D69" s="6">
        <v>79</v>
      </c>
    </row>
    <row r="70" spans="1:4">
      <c r="A70" s="278">
        <v>30584</v>
      </c>
      <c r="B70" s="663" t="s">
        <v>299</v>
      </c>
      <c r="C70" s="6" t="b">
        <v>0</v>
      </c>
      <c r="D70" s="6">
        <v>80</v>
      </c>
    </row>
    <row r="71" spans="1:4">
      <c r="A71" s="278">
        <v>30559</v>
      </c>
      <c r="B71" s="663" t="s">
        <v>300</v>
      </c>
      <c r="C71" s="6" t="b">
        <v>0</v>
      </c>
      <c r="D71" s="6">
        <v>81</v>
      </c>
    </row>
    <row r="72" spans="1:4">
      <c r="A72" s="278">
        <v>30558</v>
      </c>
      <c r="B72" s="663" t="s">
        <v>1877</v>
      </c>
      <c r="C72" s="6" t="b">
        <v>1</v>
      </c>
      <c r="D72" s="6">
        <v>82</v>
      </c>
    </row>
    <row r="73" spans="1:4">
      <c r="A73" s="278">
        <v>30556</v>
      </c>
      <c r="B73" s="663" t="s">
        <v>301</v>
      </c>
      <c r="C73" s="6" t="b">
        <v>0</v>
      </c>
      <c r="D73" s="6">
        <v>83</v>
      </c>
    </row>
    <row r="74" spans="1:4">
      <c r="A74" s="278">
        <v>23100</v>
      </c>
      <c r="B74" s="663" t="s">
        <v>302</v>
      </c>
      <c r="C74" s="6" t="b">
        <v>0</v>
      </c>
      <c r="D74" s="6">
        <v>84</v>
      </c>
    </row>
    <row r="75" spans="1:4">
      <c r="A75" s="278">
        <v>24061</v>
      </c>
      <c r="B75" s="663" t="s">
        <v>303</v>
      </c>
      <c r="C75" s="6" t="b">
        <v>0</v>
      </c>
      <c r="D75" s="6">
        <v>85</v>
      </c>
    </row>
    <row r="76" spans="1:4">
      <c r="A76" s="278">
        <v>32220</v>
      </c>
      <c r="B76" s="663" t="s">
        <v>304</v>
      </c>
      <c r="C76" s="6" t="b">
        <v>0</v>
      </c>
      <c r="D76" s="6">
        <v>86</v>
      </c>
    </row>
    <row r="77" spans="1:4">
      <c r="A77" s="278">
        <v>30585</v>
      </c>
      <c r="B77" s="663" t="s">
        <v>1878</v>
      </c>
      <c r="C77" s="6" t="b">
        <v>0</v>
      </c>
      <c r="D77" s="6">
        <v>87</v>
      </c>
    </row>
    <row r="78" spans="1:4">
      <c r="A78" s="278">
        <v>23098</v>
      </c>
      <c r="B78" s="663" t="s">
        <v>1679</v>
      </c>
      <c r="C78" s="6" t="b">
        <v>0</v>
      </c>
      <c r="D78" s="6">
        <v>88</v>
      </c>
    </row>
    <row r="79" spans="1:4">
      <c r="A79" s="278">
        <v>24058</v>
      </c>
      <c r="B79" s="663" t="s">
        <v>1680</v>
      </c>
      <c r="C79" s="6" t="b">
        <v>0</v>
      </c>
      <c r="D79" s="6">
        <v>89</v>
      </c>
    </row>
    <row r="80" spans="1:4">
      <c r="A80" s="278">
        <v>28363</v>
      </c>
      <c r="B80" s="663" t="s">
        <v>1681</v>
      </c>
      <c r="C80" s="6" t="b">
        <v>0</v>
      </c>
      <c r="D80" s="6">
        <v>90</v>
      </c>
    </row>
    <row r="81" spans="1:4">
      <c r="A81" s="278">
        <v>32217</v>
      </c>
      <c r="B81" s="663" t="s">
        <v>1682</v>
      </c>
      <c r="C81" s="6" t="b">
        <v>0</v>
      </c>
      <c r="D81" s="6">
        <v>91</v>
      </c>
    </row>
    <row r="82" spans="1:4">
      <c r="A82" s="278">
        <v>30575</v>
      </c>
      <c r="B82" s="663" t="s">
        <v>1683</v>
      </c>
      <c r="C82" s="6" t="b">
        <v>0</v>
      </c>
      <c r="D82" s="6">
        <v>92</v>
      </c>
    </row>
    <row r="83" spans="1:4">
      <c r="A83" s="278">
        <v>30553</v>
      </c>
      <c r="B83" s="663" t="s">
        <v>1684</v>
      </c>
      <c r="C83" s="6" t="b">
        <v>0</v>
      </c>
      <c r="D83" s="6">
        <v>93</v>
      </c>
    </row>
    <row r="84" spans="1:4">
      <c r="A84" s="278">
        <v>30604</v>
      </c>
      <c r="B84" s="663" t="s">
        <v>1258</v>
      </c>
      <c r="C84" s="6" t="b">
        <v>0</v>
      </c>
      <c r="D84" s="6">
        <v>94</v>
      </c>
    </row>
    <row r="85" spans="1:4">
      <c r="A85" s="278">
        <v>30607</v>
      </c>
      <c r="B85" s="663" t="s">
        <v>1551</v>
      </c>
      <c r="C85" s="6" t="b">
        <v>1</v>
      </c>
      <c r="D85" s="6">
        <v>95</v>
      </c>
    </row>
    <row r="86" spans="1:4">
      <c r="A86" s="278">
        <v>30554</v>
      </c>
      <c r="B86" s="663" t="s">
        <v>1552</v>
      </c>
      <c r="C86" s="6" t="b">
        <v>1</v>
      </c>
      <c r="D86" s="6">
        <v>96</v>
      </c>
    </row>
    <row r="87" spans="1:4">
      <c r="A87" s="278">
        <v>32637</v>
      </c>
      <c r="B87" s="663" t="s">
        <v>1500</v>
      </c>
      <c r="C87" s="6" t="b">
        <v>0</v>
      </c>
      <c r="D87" s="6">
        <v>97</v>
      </c>
    </row>
    <row r="88" spans="1:4">
      <c r="A88" s="278">
        <v>31869</v>
      </c>
      <c r="B88" s="663" t="s">
        <v>1501</v>
      </c>
      <c r="C88" s="6" t="b">
        <v>0</v>
      </c>
      <c r="D88" s="6">
        <v>98</v>
      </c>
    </row>
    <row r="89" spans="1:4">
      <c r="A89" s="278">
        <v>31868</v>
      </c>
      <c r="B89" s="663" t="s">
        <v>2071</v>
      </c>
      <c r="C89" s="6" t="b">
        <v>0</v>
      </c>
      <c r="D89" s="6">
        <v>99</v>
      </c>
    </row>
    <row r="90" spans="1:4">
      <c r="A90" s="278">
        <v>32222</v>
      </c>
      <c r="B90" s="663"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4" t="s">
        <v>140</v>
      </c>
    </row>
    <row r="504" spans="1:2">
      <c r="A504" s="231">
        <v>30627</v>
      </c>
      <c r="B504" s="239" t="s">
        <v>142</v>
      </c>
    </row>
    <row r="505" spans="1:2">
      <c r="A505" s="231">
        <v>30450</v>
      </c>
      <c r="B505" s="239" t="s">
        <v>1939</v>
      </c>
    </row>
    <row r="506" spans="1:2">
      <c r="A506" s="282">
        <v>2564</v>
      </c>
      <c r="B506" s="665" t="s">
        <v>1974</v>
      </c>
    </row>
    <row r="507" spans="1:2">
      <c r="A507" s="282">
        <v>3222</v>
      </c>
      <c r="B507" s="665" t="s">
        <v>1468</v>
      </c>
    </row>
    <row r="508" spans="1:2">
      <c r="A508" s="282">
        <v>1900</v>
      </c>
      <c r="B508" s="665" t="s">
        <v>1976</v>
      </c>
    </row>
    <row r="509" spans="1:2">
      <c r="A509" s="282">
        <v>3225</v>
      </c>
      <c r="B509" s="665" t="s">
        <v>1664</v>
      </c>
    </row>
    <row r="510" spans="1:2">
      <c r="A510" s="282">
        <v>803</v>
      </c>
      <c r="B510" s="665" t="s">
        <v>1977</v>
      </c>
    </row>
    <row r="511" spans="1:2">
      <c r="A511" s="282">
        <v>1898</v>
      </c>
      <c r="B511" s="665" t="s">
        <v>1638</v>
      </c>
    </row>
    <row r="512" spans="1:2">
      <c r="A512" s="282">
        <v>963</v>
      </c>
      <c r="B512" s="665" t="s">
        <v>1639</v>
      </c>
    </row>
    <row r="513" spans="1:2">
      <c r="A513" s="282">
        <v>2673</v>
      </c>
      <c r="B513" s="665" t="s">
        <v>1228</v>
      </c>
    </row>
    <row r="514" spans="1:2">
      <c r="A514" s="666" t="s">
        <v>146</v>
      </c>
      <c r="B514" s="649" t="s">
        <v>1644</v>
      </c>
    </row>
    <row r="515" spans="1:2">
      <c r="A515" s="666" t="s">
        <v>146</v>
      </c>
      <c r="B515" s="649" t="s">
        <v>1288</v>
      </c>
    </row>
    <row r="516" spans="1:2">
      <c r="A516" s="282">
        <v>2564</v>
      </c>
      <c r="B516" s="665" t="s">
        <v>1974</v>
      </c>
    </row>
    <row r="517" spans="1:2">
      <c r="A517" s="282">
        <v>3222</v>
      </c>
      <c r="B517" s="665" t="s">
        <v>1468</v>
      </c>
    </row>
    <row r="518" spans="1:2">
      <c r="A518" s="282">
        <v>1900</v>
      </c>
      <c r="B518" s="665" t="s">
        <v>1976</v>
      </c>
    </row>
    <row r="519" spans="1:2">
      <c r="A519" s="282">
        <v>3225</v>
      </c>
      <c r="B519" s="665" t="s">
        <v>1664</v>
      </c>
    </row>
    <row r="520" spans="1:2">
      <c r="A520" s="282">
        <v>803</v>
      </c>
      <c r="B520" s="665" t="s">
        <v>1977</v>
      </c>
    </row>
    <row r="521" spans="1:2">
      <c r="A521" s="282">
        <v>1898</v>
      </c>
      <c r="B521" s="665" t="s">
        <v>1638</v>
      </c>
    </row>
    <row r="522" spans="1:2">
      <c r="A522" s="282">
        <v>963</v>
      </c>
      <c r="B522" s="665" t="s">
        <v>1639</v>
      </c>
    </row>
    <row r="523" spans="1:2">
      <c r="A523" s="282">
        <v>2673</v>
      </c>
      <c r="B523" s="665" t="s">
        <v>1228</v>
      </c>
    </row>
    <row r="524" spans="1:2">
      <c r="A524" s="666" t="s">
        <v>146</v>
      </c>
      <c r="B524" s="649"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67" t="s">
        <v>49</v>
      </c>
    </row>
    <row r="795" spans="1:2">
      <c r="A795" s="258">
        <v>33474</v>
      </c>
      <c r="B795" s="668" t="s">
        <v>1562</v>
      </c>
    </row>
    <row r="796" spans="1:2">
      <c r="A796" s="258">
        <v>29949</v>
      </c>
      <c r="B796" s="668" t="s">
        <v>1627</v>
      </c>
    </row>
    <row r="797" spans="1:2">
      <c r="A797" s="258">
        <v>30724</v>
      </c>
      <c r="B797" s="668" t="s">
        <v>2208</v>
      </c>
    </row>
    <row r="798" spans="1:2">
      <c r="A798" s="258">
        <v>34349</v>
      </c>
      <c r="B798" s="668" t="s">
        <v>1634</v>
      </c>
    </row>
    <row r="799" spans="1:2">
      <c r="A799" s="258">
        <v>35108</v>
      </c>
      <c r="B799" s="668" t="s">
        <v>2003</v>
      </c>
    </row>
    <row r="800" spans="1:2">
      <c r="A800" s="258">
        <v>34892</v>
      </c>
      <c r="B800" s="668" t="s">
        <v>426</v>
      </c>
    </row>
    <row r="801" spans="1:2">
      <c r="A801" s="258">
        <v>32645</v>
      </c>
      <c r="B801" s="668" t="s">
        <v>50</v>
      </c>
    </row>
    <row r="802" spans="1:2">
      <c r="A802" s="258">
        <v>34603</v>
      </c>
      <c r="B802" s="668" t="s">
        <v>1140</v>
      </c>
    </row>
    <row r="803" spans="1:2">
      <c r="A803" s="308">
        <v>29204</v>
      </c>
      <c r="B803" s="667" t="s">
        <v>1628</v>
      </c>
    </row>
    <row r="804" spans="1:2">
      <c r="A804" s="309">
        <v>29211</v>
      </c>
      <c r="B804" s="669" t="s">
        <v>1629</v>
      </c>
    </row>
    <row r="805" spans="1:2">
      <c r="A805" s="258">
        <v>28319</v>
      </c>
      <c r="B805" s="668" t="s">
        <v>1930</v>
      </c>
    </row>
    <row r="806" spans="1:2">
      <c r="A806" s="258">
        <v>34196</v>
      </c>
      <c r="B806" s="668" t="s">
        <v>629</v>
      </c>
    </row>
    <row r="807" spans="1:2">
      <c r="A807" s="258">
        <v>32756</v>
      </c>
      <c r="B807" s="668" t="s">
        <v>857</v>
      </c>
    </row>
    <row r="808" spans="1:2">
      <c r="A808" s="258">
        <v>32253</v>
      </c>
      <c r="B808" s="668" t="s">
        <v>858</v>
      </c>
    </row>
    <row r="809" spans="1:2">
      <c r="A809" s="309">
        <v>30279</v>
      </c>
      <c r="B809" s="669" t="s">
        <v>1931</v>
      </c>
    </row>
    <row r="810" spans="1:2">
      <c r="A810" s="258">
        <v>29152</v>
      </c>
      <c r="B810" s="668" t="s">
        <v>1932</v>
      </c>
    </row>
    <row r="811" spans="1:2">
      <c r="A811" s="258">
        <v>32054</v>
      </c>
      <c r="B811" s="668" t="s">
        <v>1146</v>
      </c>
    </row>
    <row r="812" spans="1:2">
      <c r="A812" s="308">
        <v>34783</v>
      </c>
      <c r="B812" s="667" t="s">
        <v>1027</v>
      </c>
    </row>
    <row r="813" spans="1:2">
      <c r="A813" s="308">
        <v>23748</v>
      </c>
      <c r="B813" s="667" t="s">
        <v>1147</v>
      </c>
    </row>
    <row r="814" spans="1:2">
      <c r="A814" s="258">
        <v>30105</v>
      </c>
      <c r="B814" s="668" t="s">
        <v>691</v>
      </c>
    </row>
    <row r="815" spans="1:2">
      <c r="A815" s="258">
        <v>30025</v>
      </c>
      <c r="B815" s="668" t="s">
        <v>1148</v>
      </c>
    </row>
    <row r="816" spans="1:2">
      <c r="A816" s="308">
        <v>27916</v>
      </c>
      <c r="B816" s="667" t="s">
        <v>1149</v>
      </c>
    </row>
    <row r="817" spans="1:2">
      <c r="A817" s="258">
        <v>28826</v>
      </c>
      <c r="B817" s="668" t="s">
        <v>1150</v>
      </c>
    </row>
    <row r="818" spans="1:2">
      <c r="A818" s="308">
        <v>27526</v>
      </c>
      <c r="B818" s="667" t="s">
        <v>550</v>
      </c>
    </row>
    <row r="819" spans="1:2">
      <c r="A819" s="258">
        <v>34622</v>
      </c>
      <c r="B819" s="668" t="s">
        <v>290</v>
      </c>
    </row>
    <row r="820" spans="1:2">
      <c r="A820" s="258">
        <v>28504</v>
      </c>
      <c r="B820" s="668" t="s">
        <v>551</v>
      </c>
    </row>
    <row r="821" spans="1:2">
      <c r="A821" s="258">
        <v>28772</v>
      </c>
      <c r="B821" s="668" t="s">
        <v>552</v>
      </c>
    </row>
    <row r="822" spans="1:2">
      <c r="A822" s="308">
        <v>28286</v>
      </c>
      <c r="B822" s="667" t="s">
        <v>2065</v>
      </c>
    </row>
    <row r="823" spans="1:2">
      <c r="A823" s="236">
        <v>34334</v>
      </c>
      <c r="B823" s="294" t="s">
        <v>983</v>
      </c>
    </row>
    <row r="824" spans="1:2">
      <c r="A824" s="308">
        <v>34674</v>
      </c>
      <c r="B824" s="667" t="s">
        <v>973</v>
      </c>
    </row>
    <row r="825" spans="1:2">
      <c r="A825" s="258">
        <v>33491</v>
      </c>
      <c r="B825" s="668" t="s">
        <v>1434</v>
      </c>
    </row>
    <row r="826" spans="1:2">
      <c r="A826" s="258">
        <v>32326</v>
      </c>
      <c r="B826" s="668" t="s">
        <v>2066</v>
      </c>
    </row>
    <row r="827" spans="1:2">
      <c r="A827" s="258">
        <v>33765</v>
      </c>
      <c r="B827" s="668" t="s">
        <v>546</v>
      </c>
    </row>
    <row r="828" spans="1:2">
      <c r="A828" s="258">
        <v>29151</v>
      </c>
      <c r="B828" s="668" t="s">
        <v>2067</v>
      </c>
    </row>
    <row r="829" spans="1:2">
      <c r="A829" s="258">
        <v>28581</v>
      </c>
      <c r="B829" s="668" t="s">
        <v>2223</v>
      </c>
    </row>
    <row r="830" spans="1:2">
      <c r="A830" s="258">
        <v>29351</v>
      </c>
      <c r="B830" s="668" t="s">
        <v>2224</v>
      </c>
    </row>
    <row r="831" spans="1:2">
      <c r="A831" s="258">
        <v>28659</v>
      </c>
      <c r="B831" s="668"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4">
        <v>1759.6266388076999</v>
      </c>
      <c r="C1" s="25"/>
      <c r="E1" t="s">
        <v>3103</v>
      </c>
      <c r="H1" t="s">
        <v>765</v>
      </c>
    </row>
    <row r="2" spans="1:8">
      <c r="A2" s="1340"/>
      <c r="B2" s="1341"/>
    </row>
    <row r="3" spans="1:8">
      <c r="A3" s="1340" t="s">
        <v>3114</v>
      </c>
      <c r="B3" s="894">
        <v>1759.9839688335551</v>
      </c>
      <c r="E3" s="894">
        <f t="shared" ref="E3:E9" si="0">$B3-$B$1</f>
        <v>0.3573300258551626</v>
      </c>
      <c r="F3" s="25"/>
      <c r="H3" s="894">
        <f t="shared" ref="H3:H9" si="1">$E3/$E$4</f>
        <v>0.43196864930599316</v>
      </c>
    </row>
    <row r="4" spans="1:8">
      <c r="A4" s="1340" t="s">
        <v>3115</v>
      </c>
      <c r="B4" s="894">
        <v>1760.4538516770349</v>
      </c>
      <c r="E4" s="894">
        <f t="shared" si="0"/>
        <v>0.8272128693349714</v>
      </c>
      <c r="F4" s="25"/>
      <c r="H4" s="894">
        <f t="shared" si="1"/>
        <v>1</v>
      </c>
    </row>
    <row r="5" spans="1:8">
      <c r="A5" s="1340" t="s">
        <v>3116</v>
      </c>
      <c r="B5" s="894">
        <v>1760.3124351132094</v>
      </c>
      <c r="E5" s="894">
        <f t="shared" si="0"/>
        <v>0.68579630550948423</v>
      </c>
      <c r="F5" s="25"/>
      <c r="H5" s="894">
        <f t="shared" si="1"/>
        <v>0.82904453125931488</v>
      </c>
    </row>
    <row r="6" spans="1:8">
      <c r="A6" s="1340" t="s">
        <v>3117</v>
      </c>
      <c r="B6" s="894">
        <v>1765.1766702748271</v>
      </c>
      <c r="E6" s="894">
        <f t="shared" si="0"/>
        <v>5.5500314671271553</v>
      </c>
      <c r="F6" s="25"/>
      <c r="H6" s="894">
        <f t="shared" si="1"/>
        <v>6.7093147034680944</v>
      </c>
    </row>
    <row r="7" spans="1:8">
      <c r="A7" s="1340" t="s">
        <v>3118</v>
      </c>
      <c r="B7" s="894">
        <v>1763.2980235467201</v>
      </c>
      <c r="E7" s="894">
        <f t="shared" si="0"/>
        <v>3.6713847390201408</v>
      </c>
      <c r="F7" s="25"/>
      <c r="H7" s="894">
        <f t="shared" si="1"/>
        <v>4.4382587301521434</v>
      </c>
    </row>
    <row r="8" spans="1:8">
      <c r="A8" s="1340" t="s">
        <v>3119</v>
      </c>
      <c r="B8" s="894">
        <v>1759.7495474090365</v>
      </c>
      <c r="E8" s="894">
        <f t="shared" si="0"/>
        <v>0.12290860133657588</v>
      </c>
      <c r="F8" s="25"/>
      <c r="H8" s="894">
        <f t="shared" si="1"/>
        <v>0.14858158751251888</v>
      </c>
    </row>
    <row r="9" spans="1:8">
      <c r="A9" s="1340" t="s">
        <v>3120</v>
      </c>
      <c r="B9" s="894">
        <v>1760.8052489540294</v>
      </c>
      <c r="E9" s="894">
        <f t="shared" si="0"/>
        <v>1.1786101463294472</v>
      </c>
      <c r="F9" s="25"/>
      <c r="H9" s="894">
        <f t="shared" si="1"/>
        <v>1.4247966757057076</v>
      </c>
    </row>
    <row r="10" spans="1:8">
      <c r="B10" s="894"/>
      <c r="E10" s="894"/>
      <c r="F10" s="25"/>
      <c r="H10" s="894"/>
    </row>
    <row r="11" spans="1:8">
      <c r="A11" s="1340" t="s">
        <v>3121</v>
      </c>
      <c r="B11" s="894">
        <v>1760.0197018361412</v>
      </c>
      <c r="E11" s="894">
        <f>$B11-$B$1</f>
        <v>0.3930630284412473</v>
      </c>
      <c r="F11" s="25"/>
      <c r="H11" s="894">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0">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3">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3">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2021-06-29T11:54:04Z</dcterms:modified>
</cp:coreProperties>
</file>