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5728260B-4D36-4E42-9178-78DB78F2CCBD}"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Back!$X$40:$X$46</definedName>
    <definedName name="BackEnchantStats">Back!$A$41:$U$46</definedName>
    <definedName name="BackList">OFFSET(Back!$X$2,0,0,COUNTIF(Back!$X$2:$X$38,"?*"),1)</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Boots!$X$36:$X$44</definedName>
    <definedName name="BootEnchantStats">Boots!$A$37:$U$44</definedName>
    <definedName name="BootsList">OFFSET(Boots!$X$2,0,0,COUNTIF(Boots!$X$2:$X$34,"?*"),1)</definedName>
    <definedName name="BootsStats">Boots!$A$2:$U$33</definedName>
    <definedName name="bosscrit">'Damage Calc'!$U$10</definedName>
    <definedName name="BossLevel">'Global Var'!$B$7</definedName>
    <definedName name="BotSprocs">Trinket!$AG$5</definedName>
    <definedName name="BotSrate">Trinket!$AF$5</definedName>
    <definedName name="BracerEnchantList">Bracers!$AD$32:$AD$38</definedName>
    <definedName name="BracerEnchantStats">Bracers!$A$33:$Z$38</definedName>
    <definedName name="BracersList">OFFSET(Bracers!$AD$2,0,0,COUNTIF(Bracers!$AD$2:$AD$30,"?*"),1)</definedName>
    <definedName name="BracersStats">Bracers!$A$2:$Z$29</definedName>
    <definedName name="bs4p">'Gear &amp; Buffs'!$X$24</definedName>
    <definedName name="bs8p">'Gear &amp; Buffs'!$X$25</definedName>
    <definedName name="BuffBuilds">OFFSET(BuffBuilds!$A$1,2,0,MATCH("*",BuffBuilds!$A:$A,-1)-2,1)</definedName>
    <definedName name="bwrath">Trinket!$AE$29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Chest!$X$39:$X$46</definedName>
    <definedName name="ChestEnchantStats">Chest!$A$40:$U$46</definedName>
    <definedName name="ChestList">OFFSET(Chest!$X$2,0,0,COUNTIF(Chest!$X$2:$X$37,"?*"),1)</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Stats">Socket!$A$2:$Y$105</definedName>
    <definedName name="GloveEnchantList">Gloves!$X$40:$X$45</definedName>
    <definedName name="GloveEnchantStats">Gloves!$A$41:$U$45</definedName>
    <definedName name="Gloves">'Gear &amp; Buffs'!$B$50</definedName>
    <definedName name="GlovesList">OFFSET(Gloves!$X$2,0,0,COUNTIF(Gloves!$X$2:$X$38,"?*"),1)</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Helm!$AC$33:$AC$39</definedName>
    <definedName name="HelmEnchantStats">Helm!$A$34:$Y$39</definedName>
    <definedName name="HelmList">OFFSET(Helm!$AC$2,0,0,COUNTIF(Helm!$AC$2:$AC$31,"?*"),1)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Legs!$X$40:$X$48</definedName>
    <definedName name="LegEnchantStats">Legs!$A$41:$T$48</definedName>
    <definedName name="LegsList">OFFSET(Legs!$X$2,0,0,COUNTIF(Legs!$X$2:$X$38,"?*"),1)</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'Weap Enchants'!$T$16:$T$29</definedName>
    <definedName name="MHTempEnchantStats">'Weap Enchants'!$A$17:$Q$29</definedName>
    <definedName name="mhtype">'Gear &amp; Buffs'!$X$10</definedName>
    <definedName name="MHWeaponList">OFFSET(Weapons!$AL$3,0,0,COUNTIF(Weapons!$AL$3:$AL$149,"?*"),1)</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'Weap Enchants'!$T$48:$T$59</definedName>
    <definedName name="OHTempEnchantStats">'Weap Enchants'!$A$49:$Q$59</definedName>
    <definedName name="ohtype">'Gear &amp; Buffs'!$X$16</definedName>
    <definedName name="OHWeaponList">OFFSET(Weapons!$AL$154,0,0,COUNTIF(Weapons!$AL$154:$AL$312,"?*"),1)</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Stats">Ranged!$A$2:$S$52</definedName>
    <definedName name="relent">Talents!$C$20</definedName>
    <definedName name="RingEnchantList">Ring!$Y$60:$Y$63</definedName>
    <definedName name="RingEnchantStats">Ring!$A$61:$V$63</definedName>
    <definedName name="RingList">OFFSET(Ring!$Y$2,0,0,COUNTIF(Ring!$Y$2:$Y$58,"?*"),1)</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Shoulder!$X$34:$X$42</definedName>
    <definedName name="ShoulderEnchantStats">Shoulder!$A$35:$V$42</definedName>
    <definedName name="ShoulderList">OFFSET(Shoulder!$X$2,0,0,COUNTIF(Shoulder!$X$2:$X$32,"?*"),1)</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232" i="30" l="1"/>
  <c r="AF233" i="30" s="1"/>
  <c r="AF237" i="30"/>
  <c r="AF239" i="30"/>
  <c r="AF241" i="30"/>
  <c r="AF242" i="30"/>
  <c r="AF243" i="30"/>
  <c r="AF245" i="30"/>
  <c r="AF248" i="30"/>
  <c r="AF251" i="30"/>
  <c r="AF252" i="30"/>
  <c r="AF254" i="30"/>
  <c r="AF255" i="30"/>
  <c r="AF257" i="30"/>
  <c r="AF258" i="30"/>
  <c r="AF264" i="30"/>
  <c r="AF265" i="30"/>
  <c r="AE232" i="30"/>
  <c r="AE234" i="30" s="1"/>
  <c r="AE233"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AF235" i="30" l="1"/>
  <c r="AF234" i="30"/>
  <c r="AE236" i="30"/>
  <c r="AE235" i="30"/>
  <c r="B110" i="34"/>
  <c r="AF236" i="30" l="1"/>
  <c r="AE238" i="30"/>
  <c r="F14" i="27"/>
  <c r="AF240" i="30" l="1"/>
  <c r="AF238" i="30"/>
  <c r="AF244" i="30" s="1"/>
  <c r="AE240" i="30"/>
  <c r="A282" i="30"/>
  <c r="A261" i="30"/>
  <c r="A211" i="30"/>
  <c r="A149" i="30"/>
  <c r="A120" i="30"/>
  <c r="A101" i="30"/>
  <c r="A55" i="30"/>
  <c r="X3" i="31"/>
  <c r="AB3" i="27"/>
  <c r="Y3" i="26"/>
  <c r="X3" i="25"/>
  <c r="X3" i="24"/>
  <c r="X3" i="23"/>
  <c r="X3" i="22"/>
  <c r="AD3" i="21"/>
  <c r="X3" i="20"/>
  <c r="X3" i="19"/>
  <c r="X3" i="18"/>
  <c r="X3" i="16"/>
  <c r="AC3" i="15"/>
  <c r="AB3" i="14"/>
  <c r="A78" i="14"/>
  <c r="A61" i="14"/>
  <c r="A46" i="14"/>
  <c r="A36" i="14"/>
  <c r="A20" i="14"/>
  <c r="A3" i="14"/>
  <c r="AF246" i="30" l="1"/>
  <c r="AE244" i="30"/>
  <c r="AE246" i="30"/>
  <c r="B119" i="34"/>
  <c r="AR21" i="30"/>
  <c r="AR23" i="30"/>
  <c r="AF27" i="27"/>
  <c r="AG27" i="27"/>
  <c r="AH27" i="27"/>
  <c r="AI27" i="27"/>
  <c r="AJ27" i="27"/>
  <c r="AK27" i="27"/>
  <c r="AL27" i="27"/>
  <c r="AM27" i="27"/>
  <c r="AN27" i="27"/>
  <c r="AO27" i="27"/>
  <c r="AP27" i="27"/>
  <c r="AQ27" i="27"/>
  <c r="AR27" i="27"/>
  <c r="AS27" i="27"/>
  <c r="AT27" i="27"/>
  <c r="AU27" i="27"/>
  <c r="AV27" i="27"/>
  <c r="AW27" i="27"/>
  <c r="AX27" i="27"/>
  <c r="AY27" i="27"/>
  <c r="D7" i="5"/>
  <c r="AF247" i="30" l="1"/>
  <c r="AE247" i="30"/>
  <c r="AX22" i="30"/>
  <c r="AX23" i="30"/>
  <c r="AX24" i="30" s="1"/>
  <c r="AZ22" i="30"/>
  <c r="AR24" i="30"/>
  <c r="C71" i="5"/>
  <c r="C70" i="5"/>
  <c r="C68" i="5"/>
  <c r="C66" i="5"/>
  <c r="C62" i="5"/>
  <c r="C57" i="5"/>
  <c r="C54" i="5"/>
  <c r="C50" i="5"/>
  <c r="C47" i="5"/>
  <c r="C42" i="5"/>
  <c r="C39" i="5"/>
  <c r="C35" i="5"/>
  <c r="C32" i="5"/>
  <c r="C26" i="5"/>
  <c r="C22" i="5"/>
  <c r="AF249" i="30" l="1"/>
  <c r="AF250" i="30" s="1"/>
  <c r="AF253" i="30" s="1"/>
  <c r="AF256" i="30" s="1"/>
  <c r="AF259" i="30" s="1"/>
  <c r="AF260" i="30" s="1"/>
  <c r="AF261" i="30" s="1"/>
  <c r="AF262" i="30" s="1"/>
  <c r="AE249" i="30"/>
  <c r="AE250" i="30" s="1"/>
  <c r="AZ23" i="30"/>
  <c r="AY26" i="30" s="1"/>
  <c r="AW21" i="30"/>
  <c r="AW22" i="30"/>
  <c r="AW23" i="30"/>
  <c r="AF263" i="30" l="1"/>
  <c r="AF266" i="30" s="1"/>
  <c r="AY25" i="30"/>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7" i="30" l="1"/>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AL8" i="30" l="1"/>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8" i="16"/>
  <c r="V41" i="25"/>
  <c r="V45" i="24"/>
  <c r="V46" i="24" s="1"/>
  <c r="V47" i="24" s="1"/>
  <c r="V6" i="22"/>
  <c r="V7" i="22" s="1"/>
  <c r="V5" i="23"/>
  <c r="V5" i="19"/>
  <c r="V7" i="18"/>
  <c r="V8" i="18" s="1"/>
  <c r="AA6" i="15"/>
  <c r="AA7" i="15" s="1"/>
  <c r="AE289" i="30"/>
  <c r="AE290"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1" i="30"/>
  <c r="AE292"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16"/>
  <c r="V10" i="24"/>
  <c r="V11" i="24" s="1"/>
  <c r="V12" i="24" s="1"/>
  <c r="V8" i="25"/>
  <c r="V9" i="22"/>
  <c r="V10" i="22" s="1"/>
  <c r="V11" i="22" s="1"/>
  <c r="V7" i="19"/>
  <c r="V8" i="19" s="1"/>
  <c r="AA9" i="15"/>
  <c r="AA10" i="15" s="1"/>
  <c r="AE293"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AE253" i="30" s="1"/>
  <c r="AE254" i="30" s="1"/>
  <c r="AE255" i="30" s="1"/>
  <c r="AE256" i="30" s="1"/>
  <c r="AE257" i="30" s="1"/>
  <c r="AE258" i="30" s="1"/>
  <c r="AE259"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Q17" i="70" l="1"/>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Q18" i="70" l="1"/>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Q19" i="70" l="1"/>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Q20" i="70" l="1"/>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H5" i="27"/>
  <c r="AF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8" i="16"/>
  <c r="X21"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V37" i="18"/>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F8" i="27"/>
  <c r="AH8" i="27" s="1"/>
  <c r="AF10" i="27"/>
  <c r="AF11" i="27"/>
  <c r="AG5" i="27"/>
  <c r="AE11" i="27" s="1"/>
  <c r="AF13" i="27"/>
  <c r="AF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H11" i="27"/>
  <c r="AE9" i="27"/>
  <c r="AH12" i="27"/>
  <c r="AE8" i="27"/>
  <c r="AE7" i="27"/>
  <c r="AE12" i="27"/>
  <c r="AE10" i="27"/>
  <c r="AF9" i="27"/>
  <c r="AH10" i="27" s="1"/>
  <c r="Q187" i="70" l="1"/>
  <c r="R187" i="70" s="1"/>
  <c r="S187" i="70" s="1"/>
  <c r="N187" i="70"/>
  <c r="O187" i="70" s="1"/>
  <c r="P187" i="70" s="1"/>
  <c r="K186" i="70"/>
  <c r="L186" i="70" s="1"/>
  <c r="M186" i="70" s="1"/>
  <c r="AE13" i="27"/>
  <c r="AE14" i="27" s="1"/>
  <c r="AC98" i="70"/>
  <c r="AD98" i="70" s="1"/>
  <c r="A188" i="70"/>
  <c r="X187" i="70"/>
  <c r="V188" i="70" s="1"/>
  <c r="W188" i="70" s="1"/>
  <c r="F187" i="70"/>
  <c r="G187" i="70" s="1"/>
  <c r="E188" i="70" s="1"/>
  <c r="I99" i="70"/>
  <c r="D186" i="70"/>
  <c r="B187" i="70" s="1"/>
  <c r="C187" i="70" s="1"/>
  <c r="AH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E15" i="27"/>
  <c r="AG15" i="27"/>
  <c r="AG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F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c r="U6" i="70" l="1"/>
  <c r="Z6" i="70" s="1"/>
  <c r="F5" i="10"/>
  <c r="Y6" i="70" l="1"/>
  <c r="U7" i="70"/>
  <c r="Z7" i="70" s="1"/>
  <c r="Y7" i="70" l="1"/>
  <c r="U8" i="70"/>
  <c r="Z8" i="70" s="1"/>
  <c r="U9" i="70" l="1"/>
  <c r="Z9" i="70" s="1"/>
  <c r="Y8" i="70"/>
  <c r="Y9" i="70"/>
  <c r="U10" i="70"/>
  <c r="Z10" i="70" s="1"/>
  <c r="Y10" i="70" l="1"/>
  <c r="U11" i="70"/>
  <c r="Z11" i="70" s="1"/>
  <c r="U12" i="70" l="1"/>
  <c r="Z12" i="70" s="1"/>
  <c r="Y11" i="70"/>
  <c r="Y12" i="70" l="1"/>
  <c r="U13" i="70"/>
  <c r="Z13" i="70" s="1"/>
  <c r="Y13" i="70" l="1"/>
  <c r="U14" i="70"/>
  <c r="Z14" i="70" s="1"/>
  <c r="Y14" i="70" l="1"/>
  <c r="U15" i="70"/>
  <c r="Z15" i="70" s="1"/>
  <c r="U16" i="70" l="1"/>
  <c r="Z16" i="70" s="1"/>
  <c r="Y15" i="70"/>
  <c r="Y16" i="70" l="1"/>
  <c r="U17" i="70"/>
  <c r="Z17" i="70" s="1"/>
  <c r="Y17" i="70" l="1"/>
  <c r="U18" i="70"/>
  <c r="Z18" i="70" s="1"/>
  <c r="U19" i="70" l="1"/>
  <c r="Z19" i="70" s="1"/>
  <c r="Y18" i="70"/>
  <c r="Y19" i="70" l="1"/>
  <c r="U20" i="70"/>
  <c r="Z20" i="70" s="1"/>
  <c r="U21" i="70" l="1"/>
  <c r="Z21" i="70" s="1"/>
  <c r="Y20" i="70"/>
  <c r="Y21" i="70" l="1"/>
  <c r="U22" i="70"/>
  <c r="Z22" i="70" s="1"/>
  <c r="Y22" i="70" l="1"/>
  <c r="U23" i="70"/>
  <c r="Z23" i="70" s="1"/>
  <c r="Y23" i="70" l="1"/>
  <c r="U24" i="70"/>
  <c r="Z24" i="70" s="1"/>
  <c r="Y24" i="70" l="1"/>
  <c r="U25" i="70"/>
  <c r="Z25" i="70" s="1"/>
  <c r="Y25" i="70" l="1"/>
  <c r="U26" i="70"/>
  <c r="Z26" i="70" s="1"/>
  <c r="U27" i="70" l="1"/>
  <c r="Z27" i="70" s="1"/>
  <c r="Y26" i="70"/>
  <c r="Y27" i="70" l="1"/>
  <c r="U28" i="70"/>
  <c r="Z28" i="70" s="1"/>
  <c r="U29" i="70" l="1"/>
  <c r="Z29" i="70" s="1"/>
  <c r="Y28" i="70"/>
  <c r="Y29" i="70" l="1"/>
  <c r="U30" i="70"/>
  <c r="Z30" i="70" s="1"/>
  <c r="Y30" i="70" l="1"/>
  <c r="U31" i="70"/>
  <c r="Z31" i="70" s="1"/>
  <c r="U32" i="70" l="1"/>
  <c r="Z32" i="70" s="1"/>
  <c r="Y31" i="70"/>
  <c r="Y32" i="70" l="1"/>
  <c r="U33" i="70"/>
  <c r="Z33" i="70" s="1"/>
  <c r="U34" i="70" l="1"/>
  <c r="Z34" i="70" s="1"/>
  <c r="AA33" i="70"/>
  <c r="Y33" i="70"/>
  <c r="U35" i="70" l="1"/>
  <c r="Z35" i="70" s="1"/>
  <c r="Y34" i="70"/>
  <c r="AA34" i="70"/>
  <c r="AA35" i="70" l="1"/>
  <c r="Y35" i="70"/>
  <c r="U36" i="70"/>
  <c r="Z36" i="70" s="1"/>
  <c r="U37" i="70" l="1"/>
  <c r="Z37" i="70" s="1"/>
  <c r="Y36" i="70"/>
  <c r="AA36" i="70"/>
  <c r="U38" i="70" l="1"/>
  <c r="Z38" i="70" s="1"/>
  <c r="AA37" i="70"/>
  <c r="Y37" i="70"/>
  <c r="U39" i="70" l="1"/>
  <c r="Z39" i="70" s="1"/>
  <c r="AA38" i="70"/>
  <c r="Y38" i="70"/>
  <c r="Y39" i="70" l="1"/>
  <c r="AA39" i="70"/>
  <c r="U40" i="70"/>
  <c r="Z40" i="70" s="1"/>
  <c r="U41" i="70" l="1"/>
  <c r="Z41" i="70" s="1"/>
  <c r="AA40" i="70"/>
  <c r="Y40" i="70"/>
  <c r="U42" i="70" l="1"/>
  <c r="Z42" i="70" s="1"/>
  <c r="Y41" i="70"/>
  <c r="AA41" i="70"/>
  <c r="U43" i="70" l="1"/>
  <c r="Z43" i="70" s="1"/>
  <c r="AA42" i="70"/>
  <c r="Y42" i="70"/>
  <c r="AA43" i="70" l="1"/>
  <c r="Y43" i="70"/>
  <c r="U44" i="70"/>
  <c r="Z44" i="70" s="1"/>
  <c r="AA44" i="70" l="1"/>
  <c r="Y44" i="70"/>
  <c r="U45" i="70"/>
  <c r="Z45" i="70" s="1"/>
  <c r="U46" i="70" l="1"/>
  <c r="Z46" i="70" s="1"/>
  <c r="Y45" i="70"/>
  <c r="AA45" i="70"/>
  <c r="U47" i="70" l="1"/>
  <c r="Z47" i="70" s="1"/>
  <c r="AA46" i="70"/>
  <c r="Y46" i="70"/>
  <c r="AA47" i="70" l="1"/>
  <c r="Y47" i="70"/>
  <c r="U48" i="70"/>
  <c r="Z48" i="70" s="1"/>
  <c r="U49" i="70" l="1"/>
  <c r="Z49" i="70" s="1"/>
  <c r="Y48" i="70"/>
  <c r="AA48" i="70"/>
  <c r="U50" i="70" l="1"/>
  <c r="Z50" i="70" s="1"/>
  <c r="AA49" i="70"/>
  <c r="Y49" i="70"/>
  <c r="U51" i="70" l="1"/>
  <c r="Z51" i="70" s="1"/>
  <c r="AA50" i="70"/>
  <c r="Y50" i="70"/>
  <c r="Y51" i="70" l="1"/>
  <c r="AA51" i="70"/>
  <c r="U52" i="70"/>
  <c r="Z52" i="70" s="1"/>
  <c r="AA52" i="70" l="1"/>
  <c r="Y52" i="70"/>
  <c r="U53" i="70"/>
  <c r="Z53" i="70" s="1"/>
  <c r="U54" i="70" l="1"/>
  <c r="Z54" i="70" s="1"/>
  <c r="Y53" i="70"/>
  <c r="AA53" i="70"/>
  <c r="U55" i="70" l="1"/>
  <c r="Z55" i="70" s="1"/>
  <c r="AA54" i="70"/>
  <c r="Y54" i="70"/>
  <c r="Y55" i="70" l="1"/>
  <c r="AA55" i="70"/>
  <c r="U56" i="70"/>
  <c r="Z56" i="70" s="1"/>
  <c r="AA56" i="70" l="1"/>
  <c r="Y56" i="70"/>
  <c r="U57" i="70"/>
  <c r="Z57" i="70" s="1"/>
  <c r="AA57" i="70" l="1"/>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E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E24" i="27"/>
  <c r="H3" i="4"/>
  <c r="H8" i="4" s="1"/>
  <c r="L7" i="5" s="1"/>
  <c r="L1" i="5"/>
  <c r="I143" i="5"/>
  <c r="I4" i="5" l="1"/>
  <c r="F29" i="11"/>
  <c r="F27" i="11"/>
  <c r="F31" i="11"/>
  <c r="F2" i="4"/>
  <c r="F28" i="11"/>
  <c r="F30" i="11"/>
  <c r="M9" i="10"/>
  <c r="AF24" i="27"/>
  <c r="AG24" i="27" s="1"/>
  <c r="AH24" i="27" s="1"/>
  <c r="AI24" i="27" s="1"/>
  <c r="AJ24" i="27" s="1"/>
  <c r="AK24" i="27" s="1"/>
  <c r="AL24" i="27" s="1"/>
  <c r="AM24" i="27" s="1"/>
  <c r="AN24" i="27" s="1"/>
  <c r="AO24" i="27" s="1"/>
  <c r="AP24" i="27" s="1"/>
  <c r="AQ24" i="27" s="1"/>
  <c r="AR24" i="27" s="1"/>
  <c r="AS24" i="27" s="1"/>
  <c r="AT24" i="27" s="1"/>
  <c r="AU24" i="27" s="1"/>
  <c r="AV24" i="27" s="1"/>
  <c r="AW24" i="27" s="1"/>
  <c r="AX24" i="27" s="1"/>
  <c r="AY24" i="27" s="1"/>
  <c r="AT23" i="27"/>
  <c r="AR23" i="27"/>
  <c r="AY23" i="27"/>
  <c r="AN23" i="27"/>
  <c r="AG23" i="27"/>
  <c r="AO23" i="27"/>
  <c r="AM23" i="27"/>
  <c r="AJ23" i="27"/>
  <c r="AL23" i="27"/>
  <c r="AK23" i="27"/>
  <c r="AX23" i="27"/>
  <c r="AQ23" i="27"/>
  <c r="AV23" i="27"/>
  <c r="AI23" i="27"/>
  <c r="AF23" i="27"/>
  <c r="AH23" i="27"/>
  <c r="AU23" i="27"/>
  <c r="AS23" i="27"/>
  <c r="AW23" i="27"/>
  <c r="AP23" i="27"/>
  <c r="AE25" i="27"/>
  <c r="B5" i="10" l="1"/>
  <c r="B2" i="10"/>
  <c r="AF26" i="27"/>
  <c r="AF28" i="27" s="1"/>
  <c r="AF25" i="27"/>
  <c r="D2" i="10" l="1"/>
  <c r="B4" i="10"/>
  <c r="C2" i="10"/>
  <c r="B3" i="10"/>
  <c r="AG26" i="27"/>
  <c r="AG28" i="27" s="1"/>
  <c r="AG25" i="27"/>
  <c r="C5" i="10"/>
  <c r="B7" i="10"/>
  <c r="B6" i="10"/>
  <c r="D5" i="10"/>
  <c r="AH26" i="27" l="1"/>
  <c r="AH28" i="27" s="1"/>
  <c r="AH25" i="27"/>
  <c r="C6" i="10"/>
  <c r="C7" i="10"/>
  <c r="C3" i="10"/>
  <c r="C4" i="10"/>
  <c r="D6" i="10"/>
  <c r="D7" i="10"/>
  <c r="D3" i="10"/>
  <c r="D4" i="10"/>
  <c r="AI26" i="27" l="1"/>
  <c r="AI28" i="27" s="1"/>
  <c r="AI25" i="27"/>
  <c r="AJ26" i="27" l="1"/>
  <c r="AJ28" i="27" s="1"/>
  <c r="AJ25" i="27"/>
  <c r="AK26" i="27" l="1"/>
  <c r="AK28" i="27" s="1"/>
  <c r="AK25" i="27"/>
  <c r="AL26" i="27" l="1"/>
  <c r="AL28" i="27" s="1"/>
  <c r="AL25" i="27"/>
  <c r="AM25" i="27" l="1"/>
  <c r="AM26" i="27"/>
  <c r="AM28" i="27" s="1"/>
  <c r="AN25" i="27" l="1"/>
  <c r="AN26" i="27"/>
  <c r="AN28" i="27" s="1"/>
  <c r="AO25" i="27" l="1"/>
  <c r="AO26" i="27"/>
  <c r="AO28" i="27" s="1"/>
  <c r="AP25" i="27" l="1"/>
  <c r="AP26" i="27"/>
  <c r="AP28" i="27" s="1"/>
  <c r="AQ26" i="27" l="1"/>
  <c r="AQ28" i="27" s="1"/>
  <c r="AQ25" i="27"/>
  <c r="AR26" i="27" l="1"/>
  <c r="AR28" i="27" s="1"/>
  <c r="AR25" i="27"/>
  <c r="AS26" i="27" l="1"/>
  <c r="AS28" i="27" s="1"/>
  <c r="AS25" i="27"/>
  <c r="AT26" i="27" l="1"/>
  <c r="AT28" i="27" s="1"/>
  <c r="AT25" i="27"/>
  <c r="AU26" i="27" l="1"/>
  <c r="AU28" i="27" s="1"/>
  <c r="AU25" i="27"/>
  <c r="AV25" i="27" l="1"/>
  <c r="AV26" i="27"/>
  <c r="AV28" i="27" s="1"/>
  <c r="AW25" i="27" l="1"/>
  <c r="AW26" i="27"/>
  <c r="AW28" i="27" s="1"/>
  <c r="AX25" i="27" l="1"/>
  <c r="AX26" i="27"/>
  <c r="AX28" i="27" s="1"/>
  <c r="AY25" i="27" l="1"/>
  <c r="AY26" i="27"/>
  <c r="AY28" i="27" l="1"/>
  <c r="AE28" i="27" s="1"/>
  <c r="AE29" i="27" s="1"/>
  <c r="E6" i="5" s="1"/>
  <c r="M8" i="10" s="1"/>
  <c r="AZ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E303" i="70"/>
  <c r="AJ301" i="70"/>
  <c r="AH301" i="70"/>
  <c r="AG302"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F48" i="27"/>
  <c r="AG48" i="27" s="1"/>
  <c r="AH48" i="27" s="1"/>
  <c r="AI48" i="27" s="1"/>
  <c r="AJ48" i="27" s="1"/>
  <c r="AK48" i="27" s="1"/>
  <c r="AL48" i="27" s="1"/>
  <c r="AM48" i="27" s="1"/>
  <c r="AN48" i="27" s="1"/>
  <c r="AO48" i="27" s="1"/>
  <c r="AP48" i="27" s="1"/>
  <c r="AQ48" i="27" s="1"/>
  <c r="AR48" i="27" s="1"/>
  <c r="AS48" i="27" s="1"/>
  <c r="AT48" i="27" s="1"/>
  <c r="AU48" i="27" s="1"/>
  <c r="AV48" i="27" s="1"/>
  <c r="AW48" i="27" s="1"/>
  <c r="AX48" i="27" s="1"/>
  <c r="AF33" i="27"/>
  <c r="AF34" i="27" s="1"/>
  <c r="AF35" i="27" s="1"/>
  <c r="AF36" i="27" s="1"/>
  <c r="AF37" i="27" s="1"/>
  <c r="AF38" i="27" s="1"/>
  <c r="AF39" i="27" s="1"/>
  <c r="AF40" i="27" s="1"/>
  <c r="AF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F42" i="27"/>
  <c r="AF43" i="27" s="1"/>
  <c r="D29" i="57" s="1"/>
  <c r="AY48" i="27"/>
  <c r="AZ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6" authorId="0" shapeId="0" xr:uid="{00000000-0006-0000-0100-000001000000}">
      <text>
        <r>
          <rPr>
            <b/>
            <sz val="8"/>
            <color indexed="81"/>
            <rFont val="Tahoma"/>
            <family val="2"/>
          </rPr>
          <t>Author:</t>
        </r>
        <r>
          <rPr>
            <sz val="8"/>
            <color indexed="81"/>
            <rFont val="Tahoma"/>
            <family val="2"/>
          </rPr>
          <t xml:space="preserve">
fixed
a small Mongoose bug</t>
        </r>
      </text>
    </comment>
    <comment ref="A577"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78"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79"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0"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1"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2"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3"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4"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5"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86"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87"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88"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89"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0"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1"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2"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3"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4"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5"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596"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597"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598"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599"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0"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1"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2"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3"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4"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5"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06"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07"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08"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09"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0"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1"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2"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3"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4"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5"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16"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17"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18"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19"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0"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1"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2"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3"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4"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5"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26"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27"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28"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29"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0"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1"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2"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3"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<sst xmlns="http://schemas.openxmlformats.org/spreadsheetml/2006/main" count="8528" uniqueCount="3251">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</sst>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77">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horizontal="center" wrapText="1"/>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3">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Y51" noThreeD="1"/>
</file>

<file path=xl/ctrlProps/ctrlProp24.xml><?xml version="1.0" encoding="utf-8"?>
<formControlPr xmlns="http://schemas.microsoft.com/office/spreadsheetml/2009/9/main" objectType="CheckBox" fmlaLink="Y52" noThreeD="1"/>
</file>

<file path=xl/ctrlProps/ctrlProp25.xml><?xml version="1.0" encoding="utf-8"?>
<formControlPr xmlns="http://schemas.microsoft.com/office/spreadsheetml/2009/9/main" objectType="CheckBox"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6" t="s">
        <v>3032</v>
      </c>
      <c r="C2" s="1396"/>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4" t="s">
        <v>934</v>
      </c>
      <c r="C10" s="1395"/>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6" t="s">
        <v>3244</v>
      </c>
      <c r="C12" s="1387" t="s">
        <v>1897</v>
      </c>
    </row>
    <row r="13" spans="1:256">
      <c r="B13" s="1392" t="s">
        <v>2326</v>
      </c>
      <c r="C13" s="1388" t="s">
        <v>3228</v>
      </c>
    </row>
    <row r="14" spans="1:256" ht="22.5">
      <c r="B14" s="1392"/>
      <c r="C14" s="1388" t="s">
        <v>3229</v>
      </c>
    </row>
    <row r="15" spans="1:256" ht="22.5">
      <c r="B15" s="1392"/>
      <c r="C15" s="1388" t="s">
        <v>3230</v>
      </c>
    </row>
    <row r="16" spans="1:256">
      <c r="B16" s="1392"/>
      <c r="C16" s="1388" t="s">
        <v>3231</v>
      </c>
    </row>
    <row r="17" spans="2:3">
      <c r="B17" s="1392"/>
      <c r="C17" s="1388" t="s">
        <v>1899</v>
      </c>
    </row>
    <row r="18" spans="2:3" ht="35.25" customHeight="1">
      <c r="B18" s="1392"/>
      <c r="C18" s="1389" t="s">
        <v>3232</v>
      </c>
    </row>
    <row r="19" spans="2:3" ht="22.5">
      <c r="B19" s="1392"/>
      <c r="C19" s="1388" t="s">
        <v>3233</v>
      </c>
    </row>
    <row r="20" spans="2:3" ht="56.25">
      <c r="B20" s="1392"/>
      <c r="C20" s="1388" t="s">
        <v>3234</v>
      </c>
    </row>
    <row r="21" spans="2:3">
      <c r="B21" s="1393" t="s">
        <v>1898</v>
      </c>
      <c r="C21" s="1382" t="s">
        <v>3242</v>
      </c>
    </row>
    <row r="22" spans="2:3" ht="22.5">
      <c r="B22" s="1393"/>
      <c r="C22" s="1381" t="s">
        <v>3235</v>
      </c>
    </row>
    <row r="23" spans="2:3" ht="33.75">
      <c r="B23" s="1393"/>
      <c r="C23" s="1381" t="s">
        <v>3236</v>
      </c>
    </row>
    <row r="24" spans="2:3" ht="22.5">
      <c r="B24" s="1390" t="s">
        <v>3239</v>
      </c>
      <c r="C24" s="1388" t="s">
        <v>3243</v>
      </c>
    </row>
    <row r="25" spans="2:3" ht="27" customHeight="1">
      <c r="B25" s="1383" t="s">
        <v>3240</v>
      </c>
      <c r="C25" s="1381" t="s">
        <v>3241</v>
      </c>
    </row>
    <row r="26" spans="2:3" ht="22.5">
      <c r="B26" s="1390" t="s">
        <v>2327</v>
      </c>
      <c r="C26" s="1388" t="s">
        <v>3237</v>
      </c>
    </row>
    <row r="27" spans="2:3" ht="23.25" thickBot="1">
      <c r="B27" s="1384" t="s">
        <v>3044</v>
      </c>
      <c r="C27" s="1385"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1" t="s">
        <v>3227</v>
      </c>
      <c r="C64" s="1391"/>
      <c r="D64" s="1391"/>
      <c r="E64" s="1391"/>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3"/>
  <sheetViews>
    <sheetView workbookViewId="0">
      <selection activeCell="A5" sqref="A5"/>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1857</v>
      </c>
      <c r="B5" s="9" t="s">
        <v>3247</v>
      </c>
    </row>
    <row r="7" spans="1:2">
      <c r="A7" s="9" t="s">
        <v>3205</v>
      </c>
      <c r="B7" s="9" t="s">
        <v>2330</v>
      </c>
    </row>
    <row r="8" spans="1:2">
      <c r="A8" s="9" t="s">
        <v>2215</v>
      </c>
      <c r="B8" s="9" t="s">
        <v>3009</v>
      </c>
    </row>
    <row r="9" spans="1:2">
      <c r="B9" s="9" t="s">
        <v>3008</v>
      </c>
    </row>
    <row r="10" spans="1:2">
      <c r="B10" s="48" t="s">
        <v>2406</v>
      </c>
    </row>
    <row r="11" spans="1:2">
      <c r="B11" s="651" t="s">
        <v>2413</v>
      </c>
    </row>
    <row r="12" spans="1:2">
      <c r="B12" s="651" t="s">
        <v>2991</v>
      </c>
    </row>
    <row r="13" spans="1:2">
      <c r="B13" s="651" t="s">
        <v>2862</v>
      </c>
    </row>
    <row r="14" spans="1:2">
      <c r="B14" s="651" t="s">
        <v>3023</v>
      </c>
    </row>
    <row r="15" spans="1:2">
      <c r="B15" s="651" t="s">
        <v>3038</v>
      </c>
    </row>
    <row r="16" spans="1:2">
      <c r="A16" s="2"/>
      <c r="B16" s="651" t="s">
        <v>2869</v>
      </c>
    </row>
    <row r="17" spans="1:2">
      <c r="A17" s="2"/>
      <c r="B17" s="651" t="s">
        <v>3039</v>
      </c>
    </row>
    <row r="18" spans="1:2">
      <c r="B18" s="651" t="s">
        <v>2888</v>
      </c>
    </row>
    <row r="19" spans="1:2">
      <c r="A19" s="9" t="s">
        <v>1584</v>
      </c>
      <c r="B19" s="9" t="s">
        <v>2331</v>
      </c>
    </row>
    <row r="20" spans="1:2">
      <c r="B20" s="9" t="s">
        <v>2407</v>
      </c>
    </row>
    <row r="21" spans="1:2">
      <c r="B21" s="9" t="s">
        <v>2425</v>
      </c>
    </row>
    <row r="22" spans="1:2">
      <c r="B22" s="9" t="s">
        <v>2863</v>
      </c>
    </row>
    <row r="23" spans="1:2">
      <c r="B23" s="9" t="s">
        <v>2879</v>
      </c>
    </row>
    <row r="24" spans="1:2">
      <c r="B24" s="9" t="s">
        <v>2882</v>
      </c>
    </row>
    <row r="25" spans="1:2">
      <c r="B25" s="9" t="s">
        <v>2987</v>
      </c>
    </row>
    <row r="26" spans="1:2">
      <c r="B26" s="9" t="s">
        <v>2988</v>
      </c>
    </row>
    <row r="27" spans="1:2">
      <c r="B27" s="9" t="s">
        <v>3018</v>
      </c>
    </row>
    <row r="28" spans="1:2">
      <c r="B28" s="9" t="s">
        <v>3019</v>
      </c>
    </row>
    <row r="29" spans="1:2">
      <c r="B29" s="9" t="s">
        <v>3020</v>
      </c>
    </row>
    <row r="30" spans="1:2">
      <c r="B30" s="9" t="s">
        <v>2989</v>
      </c>
    </row>
    <row r="31" spans="1:2">
      <c r="A31" s="9" t="s">
        <v>1857</v>
      </c>
      <c r="B31" s="9" t="s">
        <v>2990</v>
      </c>
    </row>
    <row r="32" spans="1:2">
      <c r="B32" s="9" t="s">
        <v>2867</v>
      </c>
    </row>
    <row r="33" spans="1:2">
      <c r="A33" s="9" t="s">
        <v>2071</v>
      </c>
      <c r="B33" s="9" t="s">
        <v>2333</v>
      </c>
    </row>
    <row r="34" spans="1:2">
      <c r="B34" s="9" t="s">
        <v>2424</v>
      </c>
    </row>
    <row r="36" spans="1:2">
      <c r="A36" s="9" t="s">
        <v>1851</v>
      </c>
    </row>
    <row r="37" spans="1:2">
      <c r="A37" s="9" t="s">
        <v>2332</v>
      </c>
    </row>
    <row r="38" spans="1:2">
      <c r="A38" s="9" t="s">
        <v>311</v>
      </c>
      <c r="B38" s="9" t="s">
        <v>2041</v>
      </c>
    </row>
    <row r="39" spans="1:2">
      <c r="A39" s="9" t="s">
        <v>2215</v>
      </c>
      <c r="B39" s="9" t="s">
        <v>1443</v>
      </c>
    </row>
    <row r="40" spans="1:2">
      <c r="B40" s="9" t="s">
        <v>1442</v>
      </c>
    </row>
    <row r="41" spans="1:2">
      <c r="B41" s="9" t="s">
        <v>65</v>
      </c>
    </row>
    <row r="42" spans="1:2">
      <c r="B42" s="9" t="s">
        <v>62</v>
      </c>
    </row>
    <row r="43" spans="1:2">
      <c r="B43" s="9" t="s">
        <v>60</v>
      </c>
    </row>
    <row r="44" spans="1:2">
      <c r="B44" s="9" t="s">
        <v>61</v>
      </c>
    </row>
    <row r="45" spans="1:2">
      <c r="B45" s="9" t="s">
        <v>64</v>
      </c>
    </row>
    <row r="46" spans="1:2">
      <c r="B46" s="9" t="s">
        <v>1730</v>
      </c>
    </row>
    <row r="47" spans="1:2">
      <c r="B47" s="9" t="s">
        <v>69</v>
      </c>
    </row>
    <row r="48" spans="1:2">
      <c r="B48" s="2" t="s">
        <v>2163</v>
      </c>
    </row>
    <row r="49" spans="1:2">
      <c r="B49" s="2" t="s">
        <v>2164</v>
      </c>
    </row>
    <row r="50" spans="1:2">
      <c r="B50" s="2" t="s">
        <v>67</v>
      </c>
    </row>
    <row r="51" spans="1:2">
      <c r="B51" s="9" t="s">
        <v>68</v>
      </c>
    </row>
    <row r="52" spans="1:2">
      <c r="B52" s="9" t="s">
        <v>1729</v>
      </c>
    </row>
    <row r="53" spans="1:2">
      <c r="B53" s="9" t="s">
        <v>73</v>
      </c>
    </row>
    <row r="54" spans="1:2">
      <c r="B54" s="9" t="s">
        <v>2165</v>
      </c>
    </row>
    <row r="55" spans="1:2">
      <c r="B55" s="9" t="s">
        <v>70</v>
      </c>
    </row>
    <row r="56" spans="1:2">
      <c r="B56" s="9" t="s">
        <v>2160</v>
      </c>
    </row>
    <row r="57" spans="1:2">
      <c r="B57" s="9" t="s">
        <v>790</v>
      </c>
    </row>
    <row r="58" spans="1:2">
      <c r="A58" s="9" t="s">
        <v>1857</v>
      </c>
      <c r="B58" s="9" t="s">
        <v>71</v>
      </c>
    </row>
    <row r="59" spans="1:2">
      <c r="B59" s="9" t="s">
        <v>1444</v>
      </c>
    </row>
    <row r="60" spans="1:2">
      <c r="B60" s="9" t="s">
        <v>66</v>
      </c>
    </row>
    <row r="61" spans="1:2">
      <c r="B61" s="9" t="s">
        <v>1731</v>
      </c>
    </row>
    <row r="62" spans="1:2">
      <c r="B62" s="9" t="s">
        <v>305</v>
      </c>
    </row>
    <row r="63" spans="1:2">
      <c r="B63" s="9" t="s">
        <v>788</v>
      </c>
    </row>
    <row r="64" spans="1:2">
      <c r="B64" s="9" t="s">
        <v>789</v>
      </c>
    </row>
    <row r="65" spans="1:2">
      <c r="B65" s="9" t="s">
        <v>1558</v>
      </c>
    </row>
    <row r="66" spans="1:2">
      <c r="B66" s="9" t="s">
        <v>1757</v>
      </c>
    </row>
    <row r="67" spans="1:2">
      <c r="B67" s="9" t="s">
        <v>309</v>
      </c>
    </row>
    <row r="68" spans="1:2">
      <c r="B68" s="9" t="s">
        <v>310</v>
      </c>
    </row>
    <row r="70" spans="1:2">
      <c r="A70" s="9" t="s">
        <v>2203</v>
      </c>
      <c r="B70" s="9" t="s">
        <v>791</v>
      </c>
    </row>
    <row r="71" spans="1:2">
      <c r="A71" s="9" t="s">
        <v>2215</v>
      </c>
      <c r="B71" s="9" t="s">
        <v>1988</v>
      </c>
    </row>
    <row r="72" spans="1:2">
      <c r="A72" s="2"/>
      <c r="B72" s="9" t="s">
        <v>1834</v>
      </c>
    </row>
    <row r="73" spans="1:2">
      <c r="B73" s="9" t="s">
        <v>408</v>
      </c>
    </row>
    <row r="74" spans="1:2">
      <c r="B74" s="9" t="s">
        <v>1733</v>
      </c>
    </row>
    <row r="75" spans="1:2">
      <c r="A75" s="9" t="s">
        <v>1584</v>
      </c>
      <c r="B75" s="9" t="s">
        <v>1238</v>
      </c>
    </row>
    <row r="76" spans="1:2">
      <c r="B76" s="9" t="s">
        <v>1677</v>
      </c>
    </row>
    <row r="77" spans="1:2">
      <c r="B77" s="9" t="s">
        <v>603</v>
      </c>
    </row>
    <row r="78" spans="1:2">
      <c r="B78" s="9" t="s">
        <v>2204</v>
      </c>
    </row>
    <row r="79" spans="1:2">
      <c r="B79" s="9" t="s">
        <v>37</v>
      </c>
    </row>
    <row r="80" spans="1:2">
      <c r="B80" s="9" t="s">
        <v>2007</v>
      </c>
    </row>
    <row r="81" spans="1:2">
      <c r="B81" s="9" t="s">
        <v>2237</v>
      </c>
    </row>
    <row r="82" spans="1:2">
      <c r="B82" s="9" t="s">
        <v>2236</v>
      </c>
    </row>
    <row r="83" spans="1:2">
      <c r="B83" s="9" t="s">
        <v>2240</v>
      </c>
    </row>
    <row r="84" spans="1:2">
      <c r="A84" s="9" t="s">
        <v>1857</v>
      </c>
      <c r="B84" s="9" t="s">
        <v>1237</v>
      </c>
    </row>
    <row r="85" spans="1:2">
      <c r="B85" s="9" t="s">
        <v>1239</v>
      </c>
    </row>
    <row r="86" spans="1:2">
      <c r="B86" s="9" t="s">
        <v>1240</v>
      </c>
    </row>
    <row r="87" spans="1:2">
      <c r="B87" s="9" t="s">
        <v>1241</v>
      </c>
    </row>
    <row r="88" spans="1:2">
      <c r="B88" s="9" t="s">
        <v>441</v>
      </c>
    </row>
    <row r="89" spans="1:2">
      <c r="B89" s="9" t="s">
        <v>406</v>
      </c>
    </row>
    <row r="90" spans="1:2">
      <c r="B90" s="9" t="s">
        <v>2013</v>
      </c>
    </row>
    <row r="91" spans="1:2">
      <c r="B91" s="9" t="s">
        <v>2314</v>
      </c>
    </row>
    <row r="92" spans="1:2">
      <c r="B92" s="9" t="s">
        <v>2315</v>
      </c>
    </row>
    <row r="93" spans="1:2">
      <c r="B93" s="9" t="s">
        <v>1250</v>
      </c>
    </row>
    <row r="94" spans="1:2">
      <c r="B94" s="9" t="s">
        <v>1732</v>
      </c>
    </row>
    <row r="95" spans="1:2">
      <c r="B95" s="9" t="s">
        <v>1910</v>
      </c>
    </row>
    <row r="96" spans="1:2">
      <c r="B96" s="9" t="s">
        <v>1911</v>
      </c>
    </row>
    <row r="97" spans="1:2">
      <c r="B97" s="9" t="s">
        <v>2234</v>
      </c>
    </row>
    <row r="98" spans="1:2">
      <c r="B98" s="9" t="s">
        <v>1111</v>
      </c>
    </row>
    <row r="99" spans="1:2">
      <c r="B99" s="9" t="s">
        <v>1112</v>
      </c>
    </row>
    <row r="101" spans="1:2">
      <c r="A101" s="9" t="s">
        <v>624</v>
      </c>
      <c r="B101" s="9" t="s">
        <v>791</v>
      </c>
    </row>
    <row r="102" spans="1:2">
      <c r="A102" s="9" t="s">
        <v>2215</v>
      </c>
      <c r="B102" s="9" t="s">
        <v>623</v>
      </c>
    </row>
    <row r="103" spans="1:2">
      <c r="A103" s="9" t="s">
        <v>1584</v>
      </c>
      <c r="B103" s="9" t="s">
        <v>431</v>
      </c>
    </row>
    <row r="104" spans="1:2">
      <c r="B104" s="9" t="s">
        <v>2267</v>
      </c>
    </row>
    <row r="105" spans="1:2">
      <c r="B105" s="9" t="s">
        <v>2059</v>
      </c>
    </row>
    <row r="106" spans="1:2">
      <c r="B106" s="9" t="s">
        <v>2063</v>
      </c>
    </row>
    <row r="107" spans="1:2">
      <c r="B107" s="9" t="s">
        <v>622</v>
      </c>
    </row>
    <row r="108" spans="1:2">
      <c r="B108" s="9" t="s">
        <v>625</v>
      </c>
    </row>
    <row r="109" spans="1:2">
      <c r="A109" s="9" t="s">
        <v>1857</v>
      </c>
      <c r="B109" s="9" t="s">
        <v>1880</v>
      </c>
    </row>
    <row r="110" spans="1:2">
      <c r="B110" s="9" t="s">
        <v>1881</v>
      </c>
    </row>
    <row r="111" spans="1:2">
      <c r="B111" s="9" t="s">
        <v>430</v>
      </c>
    </row>
    <row r="112" spans="1:2">
      <c r="B112" s="9" t="s">
        <v>2265</v>
      </c>
    </row>
    <row r="114" spans="1:2">
      <c r="A114" s="9" t="s">
        <v>1744</v>
      </c>
      <c r="B114" s="9" t="s">
        <v>791</v>
      </c>
    </row>
    <row r="115" spans="1:2">
      <c r="A115" s="9" t="s">
        <v>2215</v>
      </c>
      <c r="B115" s="9" t="s">
        <v>1875</v>
      </c>
    </row>
    <row r="116" spans="1:2">
      <c r="A116" s="2"/>
      <c r="B116" s="9" t="s">
        <v>83</v>
      </c>
    </row>
    <row r="117" spans="1:2">
      <c r="A117" s="2"/>
      <c r="B117" s="9" t="s">
        <v>1261</v>
      </c>
    </row>
    <row r="118" spans="1:2">
      <c r="B118" s="9" t="s">
        <v>79</v>
      </c>
    </row>
    <row r="119" spans="1:2">
      <c r="B119" s="9" t="s">
        <v>1860</v>
      </c>
    </row>
    <row r="120" spans="1:2">
      <c r="B120" s="9" t="s">
        <v>1865</v>
      </c>
    </row>
    <row r="121" spans="1:2">
      <c r="B121" s="9" t="s">
        <v>1861</v>
      </c>
    </row>
    <row r="122" spans="1:2">
      <c r="B122" s="9" t="s">
        <v>1866</v>
      </c>
    </row>
    <row r="123" spans="1:2">
      <c r="B123" s="9" t="s">
        <v>85</v>
      </c>
    </row>
    <row r="124" spans="1:2">
      <c r="B124" s="9" t="s">
        <v>1868</v>
      </c>
    </row>
    <row r="125" spans="1:2">
      <c r="A125" s="2"/>
      <c r="B125" s="9" t="s">
        <v>77</v>
      </c>
    </row>
    <row r="126" spans="1:2">
      <c r="B126" s="9" t="s">
        <v>78</v>
      </c>
    </row>
    <row r="127" spans="1:2">
      <c r="B127" s="9" t="s">
        <v>1262</v>
      </c>
    </row>
    <row r="128" spans="1:2">
      <c r="B128" s="9" t="s">
        <v>1263</v>
      </c>
    </row>
    <row r="129" spans="1:2">
      <c r="B129" s="9" t="s">
        <v>82</v>
      </c>
    </row>
    <row r="130" spans="1:2">
      <c r="B130" s="9" t="s">
        <v>1260</v>
      </c>
    </row>
    <row r="131" spans="1:2">
      <c r="B131" s="9" t="s">
        <v>1554</v>
      </c>
    </row>
    <row r="132" spans="1:2">
      <c r="B132" s="9" t="s">
        <v>1555</v>
      </c>
    </row>
    <row r="133" spans="1:2">
      <c r="B133" s="9" t="s">
        <v>1862</v>
      </c>
    </row>
    <row r="134" spans="1:2">
      <c r="B134" s="9" t="s">
        <v>1871</v>
      </c>
    </row>
    <row r="135" spans="1:2">
      <c r="B135" s="9" t="s">
        <v>1874</v>
      </c>
    </row>
    <row r="136" spans="1:2">
      <c r="B136" s="9" t="s">
        <v>1870</v>
      </c>
    </row>
    <row r="137" spans="1:2">
      <c r="B137" s="9" t="s">
        <v>28</v>
      </c>
    </row>
    <row r="138" spans="1:2">
      <c r="B138" s="9" t="s">
        <v>38</v>
      </c>
    </row>
    <row r="139" spans="1:2">
      <c r="B139" s="9" t="s">
        <v>39</v>
      </c>
    </row>
    <row r="140" spans="1:2">
      <c r="B140" s="9" t="s">
        <v>1743</v>
      </c>
    </row>
    <row r="141" spans="1:2">
      <c r="B141" s="9" t="s">
        <v>103</v>
      </c>
    </row>
    <row r="142" spans="1:2">
      <c r="B142" s="9" t="s">
        <v>106</v>
      </c>
    </row>
    <row r="143" spans="1:2">
      <c r="B143" s="9" t="s">
        <v>1559</v>
      </c>
    </row>
    <row r="144" spans="1:2">
      <c r="A144" s="9" t="s">
        <v>1584</v>
      </c>
      <c r="B144" s="9" t="s">
        <v>1592</v>
      </c>
    </row>
    <row r="145" spans="1:2">
      <c r="B145" s="9" t="s">
        <v>865</v>
      </c>
    </row>
    <row r="146" spans="1:2">
      <c r="B146" s="9" t="s">
        <v>2296</v>
      </c>
    </row>
    <row r="147" spans="1:2">
      <c r="B147" s="9" t="s">
        <v>421</v>
      </c>
    </row>
    <row r="148" spans="1:2">
      <c r="B148" s="9" t="s">
        <v>959</v>
      </c>
    </row>
    <row r="149" spans="1:2">
      <c r="B149" s="9" t="s">
        <v>1136</v>
      </c>
    </row>
    <row r="150" spans="1:2">
      <c r="B150" s="9" t="s">
        <v>866</v>
      </c>
    </row>
    <row r="151" spans="1:2">
      <c r="B151" s="9" t="s">
        <v>94</v>
      </c>
    </row>
    <row r="152" spans="1:2">
      <c r="B152" s="9" t="s">
        <v>96</v>
      </c>
    </row>
    <row r="153" spans="1:2">
      <c r="B153" s="9" t="s">
        <v>1560</v>
      </c>
    </row>
    <row r="154" spans="1:2">
      <c r="A154" s="9" t="s">
        <v>1857</v>
      </c>
      <c r="B154" s="9" t="s">
        <v>1623</v>
      </c>
    </row>
    <row r="155" spans="1:2">
      <c r="B155" s="9" t="s">
        <v>2015</v>
      </c>
    </row>
    <row r="156" spans="1:2">
      <c r="B156" s="9" t="s">
        <v>2016</v>
      </c>
    </row>
    <row r="157" spans="1:2">
      <c r="B157" s="9" t="s">
        <v>99</v>
      </c>
    </row>
    <row r="158" spans="1:2">
      <c r="A158" s="9" t="s">
        <v>2071</v>
      </c>
      <c r="B158" s="9" t="s">
        <v>811</v>
      </c>
    </row>
    <row r="161" spans="1:2">
      <c r="A161" s="9" t="s">
        <v>810</v>
      </c>
      <c r="B161" s="9" t="s">
        <v>791</v>
      </c>
    </row>
    <row r="162" spans="1:2">
      <c r="A162" s="9" t="s">
        <v>1584</v>
      </c>
      <c r="B162" s="9" t="s">
        <v>2261</v>
      </c>
    </row>
    <row r="163" spans="1:2">
      <c r="B163" s="9" t="s">
        <v>2262</v>
      </c>
    </row>
    <row r="164" spans="1:2">
      <c r="B164" s="9" t="s">
        <v>451</v>
      </c>
    </row>
    <row r="165" spans="1:2">
      <c r="A165" s="9" t="s">
        <v>1857</v>
      </c>
      <c r="B165" s="9" t="s">
        <v>2258</v>
      </c>
    </row>
    <row r="166" spans="1:2">
      <c r="B166" s="9" t="s">
        <v>2228</v>
      </c>
    </row>
    <row r="167" spans="1:2">
      <c r="B167" s="9" t="s">
        <v>2259</v>
      </c>
    </row>
    <row r="168" spans="1:2">
      <c r="B168" s="9" t="s">
        <v>2260</v>
      </c>
    </row>
    <row r="171" spans="1:2">
      <c r="A171" s="9" t="s">
        <v>877</v>
      </c>
      <c r="B171" s="9" t="s">
        <v>791</v>
      </c>
    </row>
    <row r="172" spans="1:2">
      <c r="A172" s="9" t="s">
        <v>2215</v>
      </c>
      <c r="B172" s="9" t="s">
        <v>698</v>
      </c>
    </row>
    <row r="173" spans="1:2">
      <c r="B173" s="9" t="s">
        <v>154</v>
      </c>
    </row>
    <row r="174" spans="1:2">
      <c r="B174" s="9" t="s">
        <v>153</v>
      </c>
    </row>
    <row r="175" spans="1:2">
      <c r="B175" s="9" t="s">
        <v>875</v>
      </c>
    </row>
    <row r="176" spans="1:2">
      <c r="A176" s="9" t="s">
        <v>1584</v>
      </c>
      <c r="B176" s="9" t="s">
        <v>156</v>
      </c>
    </row>
    <row r="177" spans="1:2">
      <c r="B177" s="9" t="s">
        <v>849</v>
      </c>
    </row>
    <row r="178" spans="1:2">
      <c r="B178" s="9" t="s">
        <v>876</v>
      </c>
    </row>
    <row r="179" spans="1:2">
      <c r="A179" s="9" t="s">
        <v>1857</v>
      </c>
      <c r="B179" s="9" t="s">
        <v>995</v>
      </c>
    </row>
    <row r="180" spans="1:2">
      <c r="B180" s="9" t="s">
        <v>697</v>
      </c>
    </row>
    <row r="181" spans="1:2">
      <c r="B181" s="9" t="s">
        <v>157</v>
      </c>
    </row>
    <row r="182" spans="1:2">
      <c r="B182" s="9" t="s">
        <v>149</v>
      </c>
    </row>
    <row r="183" spans="1:2">
      <c r="B183" s="9" t="s">
        <v>150</v>
      </c>
    </row>
    <row r="184" spans="1:2">
      <c r="B184" s="9" t="s">
        <v>151</v>
      </c>
    </row>
    <row r="185" spans="1:2">
      <c r="B185" s="9" t="s">
        <v>848</v>
      </c>
    </row>
    <row r="186" spans="1:2">
      <c r="B186" s="9" t="s">
        <v>852</v>
      </c>
    </row>
    <row r="187" spans="1:2">
      <c r="B187" s="9" t="s">
        <v>879</v>
      </c>
    </row>
    <row r="188" spans="1:2">
      <c r="A188" s="9" t="s">
        <v>2071</v>
      </c>
      <c r="B188" s="9" t="s">
        <v>152</v>
      </c>
    </row>
    <row r="190" spans="1:2">
      <c r="A190" s="9" t="s">
        <v>1595</v>
      </c>
      <c r="B190" s="9" t="s">
        <v>791</v>
      </c>
    </row>
    <row r="191" spans="1:2">
      <c r="A191" s="9" t="s">
        <v>1584</v>
      </c>
      <c r="B191" s="9" t="s">
        <v>2040</v>
      </c>
    </row>
    <row r="192" spans="1:2">
      <c r="B192" s="9" t="s">
        <v>313</v>
      </c>
    </row>
    <row r="193" spans="1:2">
      <c r="B193" s="9" t="s">
        <v>314</v>
      </c>
    </row>
    <row r="194" spans="1:2">
      <c r="A194" s="9" t="s">
        <v>1857</v>
      </c>
      <c r="B194" s="9" t="s">
        <v>312</v>
      </c>
    </row>
    <row r="195" spans="1:2">
      <c r="B195" s="9" t="s">
        <v>315</v>
      </c>
    </row>
    <row r="196" spans="1:2">
      <c r="B196" s="9" t="s">
        <v>2039</v>
      </c>
    </row>
    <row r="198" spans="1:2">
      <c r="A198" s="9" t="s">
        <v>1606</v>
      </c>
      <c r="B198" s="9" t="s">
        <v>791</v>
      </c>
    </row>
    <row r="199" spans="1:2">
      <c r="A199" s="9" t="s">
        <v>2215</v>
      </c>
      <c r="B199" s="9" t="s">
        <v>835</v>
      </c>
    </row>
    <row r="200" spans="1:2">
      <c r="B200" s="9" t="s">
        <v>1140</v>
      </c>
    </row>
    <row r="201" spans="1:2">
      <c r="A201" s="9" t="s">
        <v>1584</v>
      </c>
      <c r="B201" s="9" t="s">
        <v>832</v>
      </c>
    </row>
    <row r="202" spans="1:2">
      <c r="B202" s="9" t="s">
        <v>1266</v>
      </c>
    </row>
    <row r="203" spans="1:2">
      <c r="B203" s="9" t="s">
        <v>1488</v>
      </c>
    </row>
    <row r="204" spans="1:2">
      <c r="B204" s="9" t="s">
        <v>1557</v>
      </c>
    </row>
    <row r="205" spans="1:2">
      <c r="B205" s="9" t="s">
        <v>1322</v>
      </c>
    </row>
    <row r="206" spans="1:2">
      <c r="B206" s="9" t="s">
        <v>1489</v>
      </c>
    </row>
    <row r="207" spans="1:2">
      <c r="B207" s="9" t="s">
        <v>1323</v>
      </c>
    </row>
    <row r="208" spans="1:2">
      <c r="B208" s="9" t="s">
        <v>1139</v>
      </c>
    </row>
    <row r="209" spans="1:2">
      <c r="B209" s="9" t="s">
        <v>1490</v>
      </c>
    </row>
    <row r="210" spans="1:2">
      <c r="B210" s="9" t="s">
        <v>1491</v>
      </c>
    </row>
    <row r="211" spans="1:2">
      <c r="B211" s="9" t="s">
        <v>1492</v>
      </c>
    </row>
    <row r="212" spans="1:2">
      <c r="A212" s="9" t="s">
        <v>1857</v>
      </c>
      <c r="B212" s="9" t="s">
        <v>833</v>
      </c>
    </row>
    <row r="213" spans="1:2">
      <c r="B213" s="9" t="s">
        <v>614</v>
      </c>
    </row>
    <row r="214" spans="1:2">
      <c r="B214" s="9" t="s">
        <v>588</v>
      </c>
    </row>
    <row r="215" spans="1:2">
      <c r="B215" s="9" t="s">
        <v>731</v>
      </c>
    </row>
    <row r="216" spans="1:2">
      <c r="B216" s="9" t="s">
        <v>938</v>
      </c>
    </row>
    <row r="217" spans="1:2">
      <c r="A217" s="9" t="s">
        <v>2071</v>
      </c>
      <c r="B217" s="9" t="s">
        <v>266</v>
      </c>
    </row>
    <row r="219" spans="1:2">
      <c r="A219" s="9" t="s">
        <v>1416</v>
      </c>
      <c r="B219" s="9" t="s">
        <v>791</v>
      </c>
    </row>
    <row r="220" spans="1:2">
      <c r="A220" s="9" t="s">
        <v>2215</v>
      </c>
      <c r="B220" s="9" t="s">
        <v>438</v>
      </c>
    </row>
    <row r="221" spans="1:2">
      <c r="B221" s="9" t="s">
        <v>1417</v>
      </c>
    </row>
    <row r="222" spans="1:2">
      <c r="B222" s="9" t="s">
        <v>306</v>
      </c>
    </row>
    <row r="223" spans="1:2">
      <c r="B223" s="9" t="s">
        <v>1355</v>
      </c>
    </row>
    <row r="224" spans="1:2">
      <c r="A224" s="9" t="s">
        <v>1584</v>
      </c>
      <c r="B224" s="9" t="s">
        <v>656</v>
      </c>
    </row>
    <row r="225" spans="1:2">
      <c r="B225" s="9" t="s">
        <v>631</v>
      </c>
    </row>
    <row r="226" spans="1:2">
      <c r="B226" s="9" t="s">
        <v>1351</v>
      </c>
    </row>
    <row r="227" spans="1:2">
      <c r="A227" s="2"/>
      <c r="B227" s="9" t="s">
        <v>627</v>
      </c>
    </row>
    <row r="228" spans="1:2">
      <c r="B228" s="9" t="s">
        <v>626</v>
      </c>
    </row>
    <row r="229" spans="1:2">
      <c r="B229" s="9" t="s">
        <v>628</v>
      </c>
    </row>
    <row r="230" spans="1:2">
      <c r="A230" s="9" t="s">
        <v>1857</v>
      </c>
      <c r="B230" s="9" t="s">
        <v>16</v>
      </c>
    </row>
    <row r="231" spans="1:2">
      <c r="B231" s="9" t="s">
        <v>1621</v>
      </c>
    </row>
    <row r="232" spans="1:2">
      <c r="B232" s="9" t="s">
        <v>1256</v>
      </c>
    </row>
    <row r="233" spans="1:2">
      <c r="B233" s="9" t="s">
        <v>1257</v>
      </c>
    </row>
    <row r="234" spans="1:2">
      <c r="B234" s="9" t="s">
        <v>1258</v>
      </c>
    </row>
    <row r="235" spans="1:2">
      <c r="B235" s="9" t="s">
        <v>1209</v>
      </c>
    </row>
    <row r="236" spans="1:2">
      <c r="B236" s="9" t="s">
        <v>1210</v>
      </c>
    </row>
    <row r="237" spans="1:2">
      <c r="B237" s="9" t="s">
        <v>1418</v>
      </c>
    </row>
    <row r="238" spans="1:2">
      <c r="A238" s="9" t="s">
        <v>2071</v>
      </c>
      <c r="B238" s="9" t="s">
        <v>2017</v>
      </c>
    </row>
    <row r="239" spans="1:2">
      <c r="B239" s="9" t="s">
        <v>2018</v>
      </c>
    </row>
    <row r="241" spans="1:2">
      <c r="A241" s="9" t="s">
        <v>1571</v>
      </c>
      <c r="B241" s="9" t="s">
        <v>791</v>
      </c>
    </row>
    <row r="242" spans="1:2">
      <c r="A242" s="9" t="s">
        <v>2215</v>
      </c>
      <c r="B242" s="9" t="s">
        <v>2094</v>
      </c>
    </row>
    <row r="243" spans="1:2">
      <c r="B243" s="9" t="s">
        <v>10</v>
      </c>
    </row>
    <row r="244" spans="1:2">
      <c r="B244" s="9" t="s">
        <v>130</v>
      </c>
    </row>
    <row r="245" spans="1:2">
      <c r="B245" s="9" t="s">
        <v>1884</v>
      </c>
    </row>
    <row r="246" spans="1:2">
      <c r="B246" s="9" t="s">
        <v>1569</v>
      </c>
    </row>
    <row r="247" spans="1:2">
      <c r="A247" s="2"/>
      <c r="B247" s="9" t="s">
        <v>1635</v>
      </c>
    </row>
    <row r="248" spans="1:2">
      <c r="A248" s="2"/>
      <c r="B248" s="9" t="s">
        <v>425</v>
      </c>
    </row>
    <row r="249" spans="1:2">
      <c r="A249" s="2"/>
      <c r="B249" s="9" t="s">
        <v>11</v>
      </c>
    </row>
    <row r="250" spans="1:2">
      <c r="B250" s="9" t="s">
        <v>2027</v>
      </c>
    </row>
    <row r="251" spans="1:2">
      <c r="B251" s="9" t="s">
        <v>2028</v>
      </c>
    </row>
    <row r="252" spans="1:2">
      <c r="B252" s="9" t="s">
        <v>426</v>
      </c>
    </row>
    <row r="253" spans="1:2">
      <c r="A253" s="2"/>
      <c r="B253" s="9" t="s">
        <v>1141</v>
      </c>
    </row>
    <row r="254" spans="1:2">
      <c r="B254" s="9" t="s">
        <v>1142</v>
      </c>
    </row>
    <row r="255" spans="1:2">
      <c r="B255" s="9" t="s">
        <v>1885</v>
      </c>
    </row>
    <row r="256" spans="1:2">
      <c r="B256" s="9" t="s">
        <v>1893</v>
      </c>
    </row>
    <row r="257" spans="1:2">
      <c r="B257" s="9" t="s">
        <v>1347</v>
      </c>
    </row>
    <row r="258" spans="1:2">
      <c r="B258" s="9" t="s">
        <v>1678</v>
      </c>
    </row>
    <row r="259" spans="1:2">
      <c r="B259" s="9" t="s">
        <v>1886</v>
      </c>
    </row>
    <row r="260" spans="1:2">
      <c r="B260" s="9" t="s">
        <v>12</v>
      </c>
    </row>
    <row r="261" spans="1:2">
      <c r="B261" s="9" t="s">
        <v>701</v>
      </c>
    </row>
    <row r="262" spans="1:2">
      <c r="A262" s="2"/>
      <c r="B262" s="9" t="s">
        <v>1028</v>
      </c>
    </row>
    <row r="263" spans="1:2">
      <c r="A263" s="2"/>
      <c r="B263" s="9" t="s">
        <v>1636</v>
      </c>
    </row>
    <row r="264" spans="1:2">
      <c r="A264" s="2"/>
      <c r="B264" s="9" t="s">
        <v>1143</v>
      </c>
    </row>
    <row r="265" spans="1:2">
      <c r="B265" s="9" t="s">
        <v>880</v>
      </c>
    </row>
    <row r="266" spans="1:2">
      <c r="B266" s="9" t="s">
        <v>129</v>
      </c>
    </row>
    <row r="267" spans="1:2">
      <c r="B267" s="9" t="s">
        <v>1887</v>
      </c>
    </row>
    <row r="268" spans="1:2">
      <c r="B268" s="9" t="s">
        <v>427</v>
      </c>
    </row>
    <row r="269" spans="1:2">
      <c r="B269" s="9" t="s">
        <v>1888</v>
      </c>
    </row>
    <row r="270" spans="1:2">
      <c r="B270" s="9" t="s">
        <v>1892</v>
      </c>
    </row>
    <row r="271" spans="1:2">
      <c r="B271" s="9" t="s">
        <v>428</v>
      </c>
    </row>
    <row r="272" spans="1:2">
      <c r="B272" s="9" t="s">
        <v>1890</v>
      </c>
    </row>
    <row r="273" spans="1:2">
      <c r="B273" s="9" t="s">
        <v>1891</v>
      </c>
    </row>
    <row r="274" spans="1:2">
      <c r="B274" s="9" t="s">
        <v>429</v>
      </c>
    </row>
    <row r="275" spans="1:2">
      <c r="B275" s="9" t="s">
        <v>1882</v>
      </c>
    </row>
    <row r="276" spans="1:2">
      <c r="B276" s="9" t="s">
        <v>1883</v>
      </c>
    </row>
    <row r="277" spans="1:2">
      <c r="A277" s="9" t="s">
        <v>1857</v>
      </c>
      <c r="B277" s="9" t="s">
        <v>422</v>
      </c>
    </row>
    <row r="278" spans="1:2">
      <c r="B278" s="9" t="s">
        <v>252</v>
      </c>
    </row>
    <row r="279" spans="1:2">
      <c r="B279" s="9" t="s">
        <v>254</v>
      </c>
    </row>
    <row r="280" spans="1:2">
      <c r="B280" s="9" t="s">
        <v>307</v>
      </c>
    </row>
    <row r="281" spans="1:2">
      <c r="B281" s="9" t="s">
        <v>1570</v>
      </c>
    </row>
    <row r="282" spans="1:2">
      <c r="B282" s="9" t="s">
        <v>1572</v>
      </c>
    </row>
    <row r="283" spans="1:2">
      <c r="A283" s="9" t="s">
        <v>423</v>
      </c>
      <c r="B283" s="9" t="s">
        <v>424</v>
      </c>
    </row>
    <row r="284" spans="1:2">
      <c r="B284" s="9" t="s">
        <v>253</v>
      </c>
    </row>
    <row r="285" spans="1:2">
      <c r="B285" s="9" t="s">
        <v>1568</v>
      </c>
    </row>
    <row r="287" spans="1:2">
      <c r="A287" s="9" t="s">
        <v>458</v>
      </c>
      <c r="B287" s="9" t="s">
        <v>791</v>
      </c>
    </row>
    <row r="288" spans="1:2">
      <c r="A288" s="9" t="s">
        <v>2215</v>
      </c>
      <c r="B288" s="9" t="s">
        <v>990</v>
      </c>
    </row>
    <row r="289" spans="1:2">
      <c r="A289" s="2"/>
      <c r="B289" s="9" t="s">
        <v>967</v>
      </c>
    </row>
    <row r="290" spans="1:2">
      <c r="B290" s="9" t="s">
        <v>971</v>
      </c>
    </row>
    <row r="291" spans="1:2">
      <c r="B291" s="9" t="s">
        <v>860</v>
      </c>
    </row>
    <row r="292" spans="1:2">
      <c r="B292" s="9" t="s">
        <v>708</v>
      </c>
    </row>
    <row r="293" spans="1:2">
      <c r="B293" s="9" t="s">
        <v>988</v>
      </c>
    </row>
    <row r="294" spans="1:2">
      <c r="A294" s="2"/>
      <c r="B294" s="9" t="s">
        <v>966</v>
      </c>
    </row>
    <row r="295" spans="1:2">
      <c r="A295" s="2"/>
      <c r="B295" s="9" t="s">
        <v>986</v>
      </c>
    </row>
    <row r="296" spans="1:2">
      <c r="A296" s="2"/>
      <c r="B296" s="9" t="s">
        <v>965</v>
      </c>
    </row>
    <row r="297" spans="1:2">
      <c r="A297" s="2"/>
      <c r="B297" s="9" t="s">
        <v>987</v>
      </c>
    </row>
    <row r="298" spans="1:2">
      <c r="A298" s="2"/>
      <c r="B298" s="9" t="s">
        <v>707</v>
      </c>
    </row>
    <row r="299" spans="1:2">
      <c r="A299" s="2"/>
      <c r="B299" s="9" t="s">
        <v>969</v>
      </c>
    </row>
    <row r="300" spans="1:2">
      <c r="A300" s="2"/>
      <c r="B300" s="9" t="s">
        <v>979</v>
      </c>
    </row>
    <row r="301" spans="1:2">
      <c r="A301" s="2"/>
      <c r="B301" s="9" t="s">
        <v>978</v>
      </c>
    </row>
    <row r="302" spans="1:2">
      <c r="A302" s="2"/>
      <c r="B302" s="9" t="s">
        <v>870</v>
      </c>
    </row>
    <row r="303" spans="1:2">
      <c r="A303" s="2"/>
      <c r="B303" s="9" t="s">
        <v>972</v>
      </c>
    </row>
    <row r="304" spans="1:2">
      <c r="A304" s="2"/>
      <c r="B304" s="9" t="s">
        <v>960</v>
      </c>
    </row>
    <row r="305" spans="1:2">
      <c r="A305" s="2"/>
      <c r="B305" s="9" t="s">
        <v>970</v>
      </c>
    </row>
    <row r="306" spans="1:2">
      <c r="A306" s="2"/>
      <c r="B306" s="9" t="s">
        <v>872</v>
      </c>
    </row>
    <row r="307" spans="1:2">
      <c r="A307" s="2"/>
      <c r="B307" s="9" t="s">
        <v>968</v>
      </c>
    </row>
    <row r="308" spans="1:2">
      <c r="A308" s="2"/>
      <c r="B308" s="9" t="s">
        <v>993</v>
      </c>
    </row>
    <row r="309" spans="1:2">
      <c r="A309" s="2"/>
      <c r="B309" s="9" t="s">
        <v>704</v>
      </c>
    </row>
    <row r="310" spans="1:2">
      <c r="A310" s="2"/>
      <c r="B310" s="9" t="s">
        <v>705</v>
      </c>
    </row>
    <row r="311" spans="1:2">
      <c r="A311" s="2"/>
      <c r="B311" s="9" t="s">
        <v>703</v>
      </c>
    </row>
    <row r="312" spans="1:2">
      <c r="A312" s="2"/>
      <c r="B312" s="9" t="s">
        <v>702</v>
      </c>
    </row>
    <row r="313" spans="1:2">
      <c r="A313" s="2"/>
      <c r="B313" s="9" t="s">
        <v>706</v>
      </c>
    </row>
    <row r="314" spans="1:2">
      <c r="A314" s="2"/>
      <c r="B314" s="9" t="s">
        <v>980</v>
      </c>
    </row>
    <row r="315" spans="1:2">
      <c r="A315" s="2"/>
      <c r="B315" s="9" t="s">
        <v>964</v>
      </c>
    </row>
    <row r="316" spans="1:2">
      <c r="A316" s="2"/>
      <c r="B316" s="9" t="s">
        <v>991</v>
      </c>
    </row>
    <row r="317" spans="1:2">
      <c r="A317" s="2"/>
      <c r="B317" s="9" t="s">
        <v>975</v>
      </c>
    </row>
    <row r="318" spans="1:2">
      <c r="A318" s="2"/>
      <c r="B318" s="9" t="s">
        <v>976</v>
      </c>
    </row>
    <row r="319" spans="1:2">
      <c r="A319" s="2"/>
      <c r="B319" s="9" t="s">
        <v>989</v>
      </c>
    </row>
    <row r="320" spans="1:2">
      <c r="B320" s="9" t="s">
        <v>873</v>
      </c>
    </row>
    <row r="321" spans="1:2">
      <c r="B321" s="9" t="s">
        <v>981</v>
      </c>
    </row>
    <row r="322" spans="1:2">
      <c r="B322" s="9" t="s">
        <v>982</v>
      </c>
    </row>
    <row r="323" spans="1:2">
      <c r="B323" s="9" t="s">
        <v>983</v>
      </c>
    </row>
    <row r="324" spans="1:2">
      <c r="B324" s="9" t="s">
        <v>992</v>
      </c>
    </row>
    <row r="325" spans="1:2">
      <c r="B325" s="9" t="s">
        <v>973</v>
      </c>
    </row>
    <row r="326" spans="1:2">
      <c r="B326" s="9" t="s">
        <v>984</v>
      </c>
    </row>
    <row r="327" spans="1:2">
      <c r="B327" s="9" t="s">
        <v>974</v>
      </c>
    </row>
    <row r="328" spans="1:2">
      <c r="B328" s="9" t="s">
        <v>1267</v>
      </c>
    </row>
    <row r="329" spans="1:2">
      <c r="A329" s="9" t="s">
        <v>1584</v>
      </c>
      <c r="B329" s="9" t="s">
        <v>610</v>
      </c>
    </row>
    <row r="330" spans="1:2">
      <c r="B330" s="9" t="s">
        <v>611</v>
      </c>
    </row>
    <row r="331" spans="1:2">
      <c r="B331" s="9" t="s">
        <v>612</v>
      </c>
    </row>
    <row r="332" spans="1:2">
      <c r="B332" s="9" t="s">
        <v>939</v>
      </c>
    </row>
    <row r="333" spans="1:2">
      <c r="A333" s="9" t="s">
        <v>1857</v>
      </c>
      <c r="B333" s="9" t="s">
        <v>715</v>
      </c>
    </row>
    <row r="334" spans="1:2">
      <c r="B334" s="9" t="s">
        <v>994</v>
      </c>
    </row>
    <row r="335" spans="1:2">
      <c r="B335" s="9" t="s">
        <v>956</v>
      </c>
    </row>
    <row r="336" spans="1:2">
      <c r="B336" s="9" t="s">
        <v>1605</v>
      </c>
    </row>
    <row r="337" spans="1:2">
      <c r="B337" s="9" t="s">
        <v>1963</v>
      </c>
    </row>
    <row r="338" spans="1:2">
      <c r="B338" s="9" t="s">
        <v>613</v>
      </c>
    </row>
    <row r="339" spans="1:2">
      <c r="A339" s="9" t="s">
        <v>856</v>
      </c>
      <c r="B339" s="9" t="s">
        <v>857</v>
      </c>
    </row>
    <row r="340" spans="1:2">
      <c r="B340" s="9" t="s">
        <v>1399</v>
      </c>
    </row>
    <row r="341" spans="1:2">
      <c r="B341" s="9" t="s">
        <v>858</v>
      </c>
    </row>
    <row r="342" spans="1:2">
      <c r="B342" s="9" t="s">
        <v>859</v>
      </c>
    </row>
    <row r="343" spans="1:2">
      <c r="B343" s="9" t="s">
        <v>1151</v>
      </c>
    </row>
    <row r="345" spans="1:2">
      <c r="A345" s="9" t="s">
        <v>189</v>
      </c>
      <c r="B345" s="9" t="s">
        <v>791</v>
      </c>
    </row>
    <row r="346" spans="1:2">
      <c r="A346" s="9" t="s">
        <v>2215</v>
      </c>
      <c r="B346" s="9" t="s">
        <v>1291</v>
      </c>
    </row>
    <row r="347" spans="1:2">
      <c r="A347" s="2"/>
      <c r="B347" s="9" t="s">
        <v>1292</v>
      </c>
    </row>
    <row r="348" spans="1:2">
      <c r="A348" s="2"/>
      <c r="B348" s="9" t="s">
        <v>812</v>
      </c>
    </row>
    <row r="349" spans="1:2">
      <c r="A349" s="2"/>
      <c r="B349" s="9" t="s">
        <v>1358</v>
      </c>
    </row>
    <row r="350" spans="1:2">
      <c r="A350" s="2"/>
      <c r="B350" s="9" t="s">
        <v>188</v>
      </c>
    </row>
    <row r="351" spans="1:2">
      <c r="A351" s="2" t="s">
        <v>1584</v>
      </c>
      <c r="B351" s="9" t="s">
        <v>1912</v>
      </c>
    </row>
    <row r="352" spans="1:2">
      <c r="A352" s="2"/>
      <c r="B352" s="9" t="s">
        <v>1130</v>
      </c>
    </row>
    <row r="353" spans="1:2">
      <c r="A353" s="2"/>
      <c r="B353" s="9" t="s">
        <v>190</v>
      </c>
    </row>
    <row r="354" spans="1:2">
      <c r="A354" s="2"/>
      <c r="B354" s="9" t="s">
        <v>561</v>
      </c>
    </row>
    <row r="355" spans="1:2">
      <c r="A355" s="2"/>
      <c r="B355" s="9" t="s">
        <v>1631</v>
      </c>
    </row>
    <row r="356" spans="1:2">
      <c r="A356" s="2"/>
      <c r="B356" s="9" t="s">
        <v>1637</v>
      </c>
    </row>
    <row r="357" spans="1:2">
      <c r="A357" s="2"/>
      <c r="B357" s="9" t="s">
        <v>1742</v>
      </c>
    </row>
    <row r="358" spans="1:2">
      <c r="A358" s="2"/>
      <c r="B358" s="9" t="s">
        <v>1632</v>
      </c>
    </row>
    <row r="359" spans="1:2">
      <c r="A359" s="2"/>
      <c r="B359" s="9" t="s">
        <v>1633</v>
      </c>
    </row>
    <row r="360" spans="1:2">
      <c r="A360" s="2"/>
      <c r="B360" s="9" t="s">
        <v>1741</v>
      </c>
    </row>
    <row r="361" spans="1:2">
      <c r="A361" s="2"/>
      <c r="B361" s="9" t="s">
        <v>1634</v>
      </c>
    </row>
    <row r="362" spans="1:2">
      <c r="A362" s="2"/>
      <c r="B362" s="9" t="s">
        <v>45</v>
      </c>
    </row>
    <row r="363" spans="1:2">
      <c r="A363" s="2"/>
      <c r="B363" s="9" t="s">
        <v>52</v>
      </c>
    </row>
    <row r="364" spans="1:2">
      <c r="A364" s="2"/>
      <c r="B364" s="9" t="s">
        <v>1638</v>
      </c>
    </row>
    <row r="365" spans="1:2">
      <c r="A365" s="2" t="s">
        <v>1857</v>
      </c>
      <c r="B365" s="9" t="s">
        <v>1293</v>
      </c>
    </row>
    <row r="366" spans="1:2">
      <c r="A366" s="2"/>
      <c r="B366" s="9" t="s">
        <v>1294</v>
      </c>
    </row>
    <row r="367" spans="1:2">
      <c r="A367" s="2"/>
      <c r="B367" s="9" t="s">
        <v>1131</v>
      </c>
    </row>
    <row r="368" spans="1:2">
      <c r="A368" s="2"/>
      <c r="B368" s="9" t="s">
        <v>1653</v>
      </c>
    </row>
    <row r="369" spans="1:2">
      <c r="A369" s="2"/>
      <c r="B369" s="9" t="s">
        <v>114</v>
      </c>
    </row>
    <row r="370" spans="1:2">
      <c r="A370" s="2"/>
      <c r="B370" s="9" t="s">
        <v>607</v>
      </c>
    </row>
    <row r="371" spans="1:2">
      <c r="A371" s="2"/>
      <c r="B371" s="9" t="s">
        <v>40</v>
      </c>
    </row>
    <row r="372" spans="1:2">
      <c r="A372" s="2"/>
      <c r="B372" s="9" t="s">
        <v>42</v>
      </c>
    </row>
    <row r="373" spans="1:2">
      <c r="A373" s="2"/>
      <c r="B373" s="9" t="s">
        <v>41</v>
      </c>
    </row>
    <row r="374" spans="1:2">
      <c r="A374" s="2" t="s">
        <v>2071</v>
      </c>
      <c r="B374" s="9" t="s">
        <v>43</v>
      </c>
    </row>
    <row r="375" spans="1:2">
      <c r="A375" s="2"/>
      <c r="B375" s="9" t="s">
        <v>51</v>
      </c>
    </row>
    <row r="376" spans="1:2">
      <c r="B376" s="9" t="s">
        <v>1619</v>
      </c>
    </row>
    <row r="377" spans="1:2">
      <c r="B377" s="9" t="s">
        <v>1620</v>
      </c>
    </row>
    <row r="378" spans="1:2">
      <c r="B378" s="9" t="s">
        <v>2069</v>
      </c>
    </row>
    <row r="380" spans="1:2">
      <c r="A380" s="9" t="s">
        <v>1856</v>
      </c>
      <c r="B380" s="9" t="s">
        <v>791</v>
      </c>
    </row>
    <row r="381" spans="1:2">
      <c r="A381" s="9" t="s">
        <v>2215</v>
      </c>
      <c r="B381" s="9" t="s">
        <v>2216</v>
      </c>
    </row>
    <row r="382" spans="1:2">
      <c r="A382" s="9" t="s">
        <v>1857</v>
      </c>
      <c r="B382" s="9" t="s">
        <v>2218</v>
      </c>
    </row>
    <row r="383" spans="1:2">
      <c r="B383" s="9" t="s">
        <v>498</v>
      </c>
    </row>
    <row r="384" spans="1:2">
      <c r="B384" s="9" t="s">
        <v>2217</v>
      </c>
    </row>
    <row r="385" spans="1:2">
      <c r="B385" s="9" t="s">
        <v>996</v>
      </c>
    </row>
    <row r="386" spans="1:2">
      <c r="B386" s="9" t="s">
        <v>1340</v>
      </c>
    </row>
    <row r="387" spans="1:2">
      <c r="B387" s="9" t="s">
        <v>2213</v>
      </c>
    </row>
    <row r="388" spans="1:2">
      <c r="B388" s="9" t="s">
        <v>2219</v>
      </c>
    </row>
    <row r="390" spans="1:2">
      <c r="A390" s="9" t="s">
        <v>1354</v>
      </c>
      <c r="B390" s="9" t="s">
        <v>791</v>
      </c>
    </row>
    <row r="391" spans="1:2">
      <c r="A391" s="9" t="s">
        <v>2248</v>
      </c>
      <c r="B391" s="9" t="s">
        <v>792</v>
      </c>
    </row>
    <row r="392" spans="1:2">
      <c r="A392" s="9" t="s">
        <v>2179</v>
      </c>
      <c r="B392" s="9" t="s">
        <v>1425</v>
      </c>
    </row>
    <row r="393" spans="1:2">
      <c r="B393" s="9" t="s">
        <v>1426</v>
      </c>
    </row>
    <row r="394" spans="1:2">
      <c r="B394" s="9" t="s">
        <v>489</v>
      </c>
    </row>
    <row r="395" spans="1:2">
      <c r="B395" s="9" t="s">
        <v>490</v>
      </c>
    </row>
    <row r="396" spans="1:2">
      <c r="B396" s="9" t="s">
        <v>1337</v>
      </c>
    </row>
    <row r="397" spans="1:2">
      <c r="B397" s="9" t="s">
        <v>874</v>
      </c>
    </row>
    <row r="398" spans="1:2">
      <c r="A398" s="9" t="s">
        <v>2247</v>
      </c>
      <c r="B398" s="9" t="s">
        <v>261</v>
      </c>
    </row>
    <row r="399" spans="1:2">
      <c r="B399" s="9" t="s">
        <v>262</v>
      </c>
    </row>
    <row r="400" spans="1:2">
      <c r="B400" s="9" t="s">
        <v>853</v>
      </c>
    </row>
    <row r="402" spans="1:2">
      <c r="A402" s="9" t="s">
        <v>1965</v>
      </c>
      <c r="B402" s="9" t="s">
        <v>791</v>
      </c>
    </row>
    <row r="403" spans="1:2">
      <c r="A403" s="9" t="s">
        <v>2248</v>
      </c>
      <c r="B403" s="9" t="s">
        <v>535</v>
      </c>
    </row>
    <row r="404" spans="1:2">
      <c r="B404" s="9" t="s">
        <v>890</v>
      </c>
    </row>
    <row r="405" spans="1:2">
      <c r="B405" s="9" t="s">
        <v>891</v>
      </c>
    </row>
    <row r="406" spans="1:2">
      <c r="B406" s="9" t="s">
        <v>1594</v>
      </c>
    </row>
    <row r="407" spans="1:2">
      <c r="A407" s="9" t="s">
        <v>2247</v>
      </c>
      <c r="B407" s="9" t="s">
        <v>1855</v>
      </c>
    </row>
    <row r="408" spans="1:2">
      <c r="A408" s="9" t="s">
        <v>2179</v>
      </c>
      <c r="B408" s="9" t="s">
        <v>1964</v>
      </c>
    </row>
    <row r="409" spans="1:2">
      <c r="B409" s="9" t="s">
        <v>796</v>
      </c>
    </row>
    <row r="410" spans="1:2">
      <c r="B410" s="9" t="s">
        <v>7</v>
      </c>
    </row>
    <row r="411" spans="1:2">
      <c r="B411" s="9" t="s">
        <v>897</v>
      </c>
    </row>
    <row r="412" spans="1:2">
      <c r="B412" s="9" t="s">
        <v>2182</v>
      </c>
    </row>
    <row r="413" spans="1:2">
      <c r="B413" s="9" t="s">
        <v>2183</v>
      </c>
    </row>
    <row r="414" spans="1:2">
      <c r="B414" s="9" t="s">
        <v>2184</v>
      </c>
    </row>
    <row r="415" spans="1:2">
      <c r="B415" s="9" t="s">
        <v>1561</v>
      </c>
    </row>
    <row r="416" spans="1:2">
      <c r="B416" s="9" t="s">
        <v>1854</v>
      </c>
    </row>
    <row r="417" spans="1:2">
      <c r="A417" s="9" t="s">
        <v>1566</v>
      </c>
      <c r="B417" s="9" t="s">
        <v>1562</v>
      </c>
    </row>
    <row r="419" spans="1:2">
      <c r="A419" s="9" t="s">
        <v>501</v>
      </c>
      <c r="B419" s="9" t="s">
        <v>791</v>
      </c>
    </row>
    <row r="420" spans="1:2">
      <c r="A420" s="9" t="s">
        <v>2248</v>
      </c>
      <c r="B420" s="9" t="s">
        <v>1926</v>
      </c>
    </row>
    <row r="421" spans="1:2">
      <c r="B421" s="9" t="s">
        <v>453</v>
      </c>
    </row>
    <row r="422" spans="1:2">
      <c r="B422" s="6" t="s">
        <v>1927</v>
      </c>
    </row>
    <row r="423" spans="1:2">
      <c r="A423" s="9" t="s">
        <v>452</v>
      </c>
      <c r="B423" s="6" t="s">
        <v>908</v>
      </c>
    </row>
    <row r="424" spans="1:2">
      <c r="A424" s="9" t="s">
        <v>2179</v>
      </c>
      <c r="B424" s="9" t="s">
        <v>502</v>
      </c>
    </row>
    <row r="425" spans="1:2">
      <c r="B425" s="9" t="s">
        <v>503</v>
      </c>
    </row>
    <row r="426" spans="1:2">
      <c r="B426" s="9" t="s">
        <v>504</v>
      </c>
    </row>
    <row r="427" spans="1:2">
      <c r="B427" s="9" t="s">
        <v>907</v>
      </c>
    </row>
    <row r="428" spans="1:2">
      <c r="B428" s="9" t="s">
        <v>1925</v>
      </c>
    </row>
    <row r="429" spans="1:2">
      <c r="B429" s="9" t="s">
        <v>906</v>
      </c>
    </row>
    <row r="431" spans="1:2">
      <c r="A431" s="9" t="s">
        <v>1478</v>
      </c>
      <c r="B431" s="9" t="s">
        <v>791</v>
      </c>
    </row>
    <row r="432" spans="1:2">
      <c r="A432" s="9" t="s">
        <v>2247</v>
      </c>
      <c r="B432" s="9" t="s">
        <v>1659</v>
      </c>
    </row>
    <row r="433" spans="1:2">
      <c r="B433" s="9" t="s">
        <v>1008</v>
      </c>
    </row>
    <row r="434" spans="1:2">
      <c r="A434" s="9" t="s">
        <v>2248</v>
      </c>
      <c r="B434" s="9" t="s">
        <v>1007</v>
      </c>
    </row>
    <row r="435" spans="1:2">
      <c r="B435" s="9" t="s">
        <v>1207</v>
      </c>
    </row>
    <row r="436" spans="1:2">
      <c r="B436" s="9" t="s">
        <v>1230</v>
      </c>
    </row>
    <row r="437" spans="1:2">
      <c r="B437" s="9" t="s">
        <v>1231</v>
      </c>
    </row>
    <row r="438" spans="1:2">
      <c r="B438" s="9" t="s">
        <v>1408</v>
      </c>
    </row>
    <row r="439" spans="1:2">
      <c r="B439" s="9" t="s">
        <v>1494</v>
      </c>
    </row>
    <row r="440" spans="1:2">
      <c r="B440" s="9" t="s">
        <v>1497</v>
      </c>
    </row>
    <row r="441" spans="1:2">
      <c r="B441" s="9" t="s">
        <v>1504</v>
      </c>
    </row>
    <row r="442" spans="1:2">
      <c r="B442" s="9" t="s">
        <v>1505</v>
      </c>
    </row>
    <row r="443" spans="1:2">
      <c r="B443" s="9" t="s">
        <v>1506</v>
      </c>
    </row>
    <row r="444" spans="1:2">
      <c r="B444" s="9" t="s">
        <v>1507</v>
      </c>
    </row>
    <row r="445" spans="1:2">
      <c r="B445" s="9" t="s">
        <v>1508</v>
      </c>
    </row>
    <row r="446" spans="1:2">
      <c r="B446" s="9" t="s">
        <v>1509</v>
      </c>
    </row>
    <row r="447" spans="1:2">
      <c r="A447" s="9" t="s">
        <v>1566</v>
      </c>
      <c r="B447" s="9" t="s">
        <v>1914</v>
      </c>
    </row>
    <row r="448" spans="1:2">
      <c r="B448" s="9" t="s">
        <v>1510</v>
      </c>
    </row>
    <row r="449" spans="1:2">
      <c r="A449" s="9" t="s">
        <v>2179</v>
      </c>
      <c r="B449" s="9" t="s">
        <v>1482</v>
      </c>
    </row>
    <row r="450" spans="1:2">
      <c r="B450" s="9" t="s">
        <v>1483</v>
      </c>
    </row>
    <row r="451" spans="1:2">
      <c r="B451" s="9" t="s">
        <v>1468</v>
      </c>
    </row>
    <row r="452" spans="1:2">
      <c r="B452" s="9" t="s">
        <v>136</v>
      </c>
    </row>
    <row r="454" spans="1:2">
      <c r="A454" s="9" t="s">
        <v>1479</v>
      </c>
      <c r="B454" s="9" t="s">
        <v>1480</v>
      </c>
    </row>
    <row r="455" spans="1:2">
      <c r="A455" s="9" t="s">
        <v>2248</v>
      </c>
      <c r="B455" s="9" t="s">
        <v>1481</v>
      </c>
    </row>
    <row r="457" spans="1:2">
      <c r="A457" s="9" t="s">
        <v>1062</v>
      </c>
      <c r="B457" s="9" t="s">
        <v>791</v>
      </c>
    </row>
    <row r="458" spans="1:2">
      <c r="A458" s="9" t="s">
        <v>2247</v>
      </c>
      <c r="B458" s="9" t="s">
        <v>1058</v>
      </c>
    </row>
    <row r="459" spans="1:2">
      <c r="A459" s="9" t="s">
        <v>2179</v>
      </c>
      <c r="B459" s="9" t="s">
        <v>283</v>
      </c>
    </row>
    <row r="460" spans="1:2">
      <c r="B460" s="9" t="s">
        <v>284</v>
      </c>
    </row>
    <row r="461" spans="1:2">
      <c r="B461" s="9" t="s">
        <v>285</v>
      </c>
    </row>
    <row r="462" spans="1:2">
      <c r="B462" s="9" t="s">
        <v>286</v>
      </c>
    </row>
    <row r="463" spans="1:2">
      <c r="B463" s="9" t="s">
        <v>287</v>
      </c>
    </row>
    <row r="464" spans="1:2">
      <c r="B464" s="9" t="s">
        <v>288</v>
      </c>
    </row>
    <row r="465" spans="1:2">
      <c r="B465" s="9" t="s">
        <v>289</v>
      </c>
    </row>
    <row r="466" spans="1:2">
      <c r="B466" s="9" t="s">
        <v>1024</v>
      </c>
    </row>
    <row r="467" spans="1:2">
      <c r="B467" s="9" t="s">
        <v>758</v>
      </c>
    </row>
    <row r="468" spans="1:2">
      <c r="B468" s="9" t="s">
        <v>759</v>
      </c>
    </row>
    <row r="469" spans="1:2">
      <c r="B469" s="9" t="s">
        <v>1059</v>
      </c>
    </row>
    <row r="470" spans="1:2">
      <c r="B470" s="9" t="s">
        <v>1061</v>
      </c>
    </row>
    <row r="471" spans="1:2">
      <c r="B471" s="9" t="s">
        <v>1060</v>
      </c>
    </row>
    <row r="473" spans="1:2">
      <c r="A473" s="9" t="s">
        <v>1126</v>
      </c>
      <c r="B473" s="9" t="s">
        <v>791</v>
      </c>
    </row>
    <row r="474" spans="1:2">
      <c r="A474" s="9" t="s">
        <v>2179</v>
      </c>
      <c r="B474" s="9" t="s">
        <v>1127</v>
      </c>
    </row>
    <row r="475" spans="1:2">
      <c r="B475" s="9" t="s">
        <v>1128</v>
      </c>
    </row>
    <row r="476" spans="1:2">
      <c r="A476" s="9" t="s">
        <v>2248</v>
      </c>
      <c r="B476" s="9" t="s">
        <v>1129</v>
      </c>
    </row>
    <row r="477" spans="1:2">
      <c r="B477" s="9" t="s">
        <v>868</v>
      </c>
    </row>
    <row r="479" spans="1:2">
      <c r="A479" s="9" t="s">
        <v>2264</v>
      </c>
      <c r="B479" s="9" t="s">
        <v>791</v>
      </c>
    </row>
    <row r="480" spans="1:2">
      <c r="A480" s="9" t="s">
        <v>2247</v>
      </c>
      <c r="B480" s="9" t="s">
        <v>160</v>
      </c>
    </row>
    <row r="482" spans="1:256">
      <c r="A482" s="9" t="s">
        <v>2263</v>
      </c>
      <c r="B482" s="9" t="s">
        <v>791</v>
      </c>
    </row>
    <row r="483" spans="1:256">
      <c r="A483" s="9" t="s">
        <v>2247</v>
      </c>
      <c r="B483" s="9" t="s">
        <v>1769</v>
      </c>
    </row>
    <row r="484" spans="1:256">
      <c r="B484" s="9" t="s">
        <v>1960</v>
      </c>
    </row>
    <row r="485" spans="1:256">
      <c r="A485" s="9" t="s">
        <v>2248</v>
      </c>
      <c r="B485" s="9" t="s">
        <v>165</v>
      </c>
    </row>
    <row r="486" spans="1:256">
      <c r="A486" s="9" t="s">
        <v>1566</v>
      </c>
      <c r="B486" s="9" t="s">
        <v>162</v>
      </c>
    </row>
    <row r="487" spans="1:256">
      <c r="B487" s="9" t="s">
        <v>1770</v>
      </c>
    </row>
    <row r="488" spans="1:256">
      <c r="A488" s="9" t="s">
        <v>2179</v>
      </c>
      <c r="B488" s="9" t="s">
        <v>531</v>
      </c>
    </row>
    <row r="489" spans="1:256">
      <c r="B489" s="9" t="s">
        <v>530</v>
      </c>
    </row>
    <row r="490" spans="1:256">
      <c r="B490" s="9" t="s">
        <v>230</v>
      </c>
    </row>
    <row r="491" spans="1:256">
      <c r="B491" s="9" t="s">
        <v>166</v>
      </c>
    </row>
    <row r="492" spans="1:256">
      <c r="B492" s="10" t="s">
        <v>1771</v>
      </c>
    </row>
    <row r="493" spans="1:256">
      <c r="B493" s="9" t="s">
        <v>1957</v>
      </c>
    </row>
    <row r="494" spans="1:256">
      <c r="B494" s="10" t="s">
        <v>1958</v>
      </c>
    </row>
    <row r="495" spans="1:256">
      <c r="B495" s="10" t="s">
        <v>1959</v>
      </c>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9"/>
      <c r="AJ495" s="9"/>
      <c r="AK495" s="9"/>
      <c r="AL495" s="9"/>
      <c r="AM495" s="9"/>
      <c r="AN495" s="9"/>
      <c r="AO495" s="9"/>
      <c r="AP495" s="9"/>
      <c r="AQ495" s="9"/>
      <c r="AR495" s="9"/>
      <c r="AS495" s="9"/>
      <c r="AT495" s="9"/>
      <c r="AU495" s="9"/>
      <c r="AV495" s="9"/>
      <c r="AW495" s="9"/>
      <c r="AX495" s="9"/>
      <c r="AY495" s="9"/>
      <c r="AZ495" s="9"/>
      <c r="BA495" s="9"/>
      <c r="BB495" s="9"/>
      <c r="BC495" s="9"/>
      <c r="BD495" s="9"/>
      <c r="BE495" s="9"/>
      <c r="BF495" s="9"/>
      <c r="BG495" s="9"/>
      <c r="BH495" s="9"/>
      <c r="BI495" s="9"/>
      <c r="BJ495" s="9"/>
      <c r="BK495" s="9"/>
      <c r="BL495" s="9"/>
      <c r="BM495" s="9"/>
      <c r="BN495" s="9"/>
      <c r="BO495" s="9"/>
      <c r="BP495" s="9"/>
      <c r="BQ495" s="9"/>
      <c r="BR495" s="9"/>
      <c r="BS495" s="9"/>
      <c r="BT495" s="9"/>
      <c r="BU495" s="9"/>
      <c r="BV495" s="9"/>
      <c r="BW495" s="9"/>
      <c r="BX495" s="9"/>
      <c r="BY495" s="9"/>
      <c r="BZ495" s="9"/>
      <c r="CA495" s="9"/>
      <c r="CB495" s="9"/>
      <c r="CC495" s="9"/>
      <c r="CD495" s="9"/>
      <c r="CE495" s="9"/>
      <c r="CF495" s="9"/>
      <c r="CG495" s="9"/>
      <c r="CH495" s="9"/>
      <c r="CI495" s="9"/>
      <c r="CJ495" s="9"/>
      <c r="CK495" s="9"/>
      <c r="CL495" s="9"/>
      <c r="CM495" s="9"/>
      <c r="CN495" s="9"/>
      <c r="CO495" s="9"/>
      <c r="CP495" s="9"/>
      <c r="CQ495" s="9"/>
      <c r="CR495" s="9"/>
      <c r="CS495" s="9"/>
      <c r="CT495" s="9"/>
      <c r="CU495" s="9"/>
      <c r="CV495" s="9"/>
      <c r="CW495" s="9"/>
      <c r="CX495" s="9"/>
      <c r="CY495" s="9"/>
      <c r="CZ495" s="9"/>
      <c r="DA495" s="9"/>
      <c r="DB495" s="9"/>
      <c r="DC495" s="9"/>
      <c r="DD495" s="9"/>
      <c r="DE495" s="9"/>
      <c r="DF495" s="9"/>
      <c r="DG495" s="9"/>
      <c r="DH495" s="9"/>
      <c r="DI495" s="9"/>
      <c r="DJ495" s="9"/>
      <c r="DK495" s="9"/>
      <c r="DL495" s="9"/>
      <c r="DM495" s="9"/>
      <c r="DN495" s="9"/>
      <c r="DO495" s="9"/>
      <c r="DP495" s="9"/>
      <c r="DQ495" s="9"/>
      <c r="DR495" s="9"/>
      <c r="DS495" s="9"/>
      <c r="DT495" s="9"/>
      <c r="DU495" s="9"/>
      <c r="DV495" s="9"/>
      <c r="DW495" s="9"/>
      <c r="DX495" s="9"/>
      <c r="DY495" s="9"/>
      <c r="DZ495" s="9"/>
      <c r="EA495" s="9"/>
      <c r="EB495" s="9"/>
      <c r="EC495" s="9"/>
      <c r="ED495" s="9"/>
      <c r="EE495" s="9"/>
      <c r="EF495" s="9"/>
      <c r="EG495" s="9"/>
      <c r="EH495" s="9"/>
      <c r="EI495" s="9"/>
      <c r="EJ495" s="9"/>
      <c r="EK495" s="9"/>
      <c r="EL495" s="9"/>
      <c r="EM495" s="9"/>
      <c r="EN495" s="9"/>
      <c r="EO495" s="9"/>
      <c r="EP495" s="9"/>
      <c r="EQ495" s="9"/>
      <c r="ER495" s="9"/>
      <c r="ES495" s="9"/>
      <c r="ET495" s="9"/>
      <c r="EU495" s="9"/>
      <c r="EV495" s="9"/>
      <c r="EW495" s="9"/>
      <c r="EX495" s="9"/>
      <c r="EY495" s="9"/>
      <c r="EZ495" s="9"/>
      <c r="FA495" s="9"/>
      <c r="FB495" s="9"/>
      <c r="FC495" s="9"/>
      <c r="FD495" s="9"/>
      <c r="FE495" s="9"/>
      <c r="FF495" s="9"/>
      <c r="FG495" s="9"/>
      <c r="FH495" s="9"/>
      <c r="FI495" s="9"/>
      <c r="FJ495" s="9"/>
      <c r="FK495" s="9"/>
      <c r="FL495" s="9"/>
      <c r="FM495" s="9"/>
      <c r="FN495" s="9"/>
      <c r="FO495" s="9"/>
      <c r="FP495" s="9"/>
      <c r="FQ495" s="9"/>
      <c r="FR495" s="9"/>
      <c r="FS495" s="9"/>
      <c r="FT495" s="9"/>
      <c r="FU495" s="9"/>
      <c r="FV495" s="9"/>
      <c r="FW495" s="9"/>
      <c r="FX495" s="9"/>
      <c r="FY495" s="9"/>
      <c r="FZ495" s="9"/>
      <c r="GA495" s="9"/>
      <c r="GB495" s="9"/>
      <c r="GC495" s="9"/>
      <c r="GD495" s="9"/>
      <c r="GE495" s="9"/>
      <c r="GF495" s="9"/>
      <c r="GG495" s="9"/>
      <c r="GH495" s="9"/>
      <c r="GI495" s="9"/>
      <c r="GJ495" s="9"/>
      <c r="GK495" s="9"/>
      <c r="GL495" s="9"/>
      <c r="GM495" s="9"/>
      <c r="GN495" s="9"/>
      <c r="GO495" s="9"/>
      <c r="GP495" s="9"/>
      <c r="GQ495" s="9"/>
      <c r="GR495" s="9"/>
      <c r="GS495" s="9"/>
      <c r="GT495" s="9"/>
      <c r="GU495" s="9"/>
      <c r="GV495" s="9"/>
      <c r="GW495" s="9"/>
      <c r="GX495" s="9"/>
      <c r="GY495" s="9"/>
      <c r="GZ495" s="9"/>
      <c r="HA495" s="9"/>
      <c r="HB495" s="9"/>
      <c r="HC495" s="9"/>
      <c r="HD495" s="9"/>
      <c r="HE495" s="9"/>
      <c r="HF495" s="9"/>
      <c r="HG495" s="9"/>
      <c r="HH495" s="9"/>
      <c r="HI495" s="9"/>
      <c r="HJ495" s="9"/>
      <c r="HK495" s="9"/>
      <c r="HL495" s="9"/>
      <c r="HM495" s="9"/>
      <c r="HN495" s="9"/>
      <c r="HO495" s="9"/>
      <c r="HP495" s="9"/>
      <c r="HQ495" s="9"/>
      <c r="HR495" s="9"/>
      <c r="HS495" s="9"/>
      <c r="HT495" s="9"/>
      <c r="HU495" s="9"/>
      <c r="HV495" s="9"/>
      <c r="HW495" s="9"/>
      <c r="HX495" s="9"/>
      <c r="HY495" s="9"/>
      <c r="HZ495" s="9"/>
      <c r="IA495" s="9"/>
      <c r="IB495" s="9"/>
      <c r="IC495" s="9"/>
      <c r="ID495" s="9"/>
      <c r="IE495" s="9"/>
      <c r="IF495" s="9"/>
      <c r="IG495" s="9"/>
      <c r="IH495" s="9"/>
      <c r="II495" s="9"/>
      <c r="IJ495" s="9"/>
      <c r="IK495" s="9"/>
      <c r="IL495" s="9"/>
      <c r="IM495" s="9"/>
      <c r="IN495" s="9"/>
      <c r="IO495" s="9"/>
      <c r="IP495" s="9"/>
      <c r="IQ495" s="9"/>
      <c r="IR495" s="9"/>
      <c r="IS495" s="9"/>
      <c r="IT495" s="9"/>
      <c r="IU495" s="9"/>
      <c r="IV495" s="9"/>
    </row>
    <row r="496" spans="1:256">
      <c r="B496" s="10" t="s">
        <v>1961</v>
      </c>
      <c r="C496" s="9"/>
      <c r="D496" s="9"/>
      <c r="E496" s="9"/>
      <c r="F496" s="9"/>
      <c r="G496" s="9"/>
      <c r="H496" s="9"/>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9"/>
      <c r="AJ496" s="9"/>
      <c r="AK496" s="9"/>
      <c r="AL496" s="9"/>
      <c r="AM496" s="9"/>
      <c r="AN496" s="9"/>
      <c r="AO496" s="9"/>
      <c r="AP496" s="9"/>
      <c r="AQ496" s="9"/>
      <c r="AR496" s="9"/>
      <c r="AS496" s="9"/>
      <c r="AT496" s="9"/>
      <c r="AU496" s="9"/>
      <c r="AV496" s="9"/>
      <c r="AW496" s="9"/>
      <c r="AX496" s="9"/>
      <c r="AY496" s="9"/>
      <c r="AZ496" s="9"/>
      <c r="BA496" s="9"/>
      <c r="BB496" s="9"/>
      <c r="BC496" s="9"/>
      <c r="BD496" s="9"/>
      <c r="BE496" s="9"/>
      <c r="BF496" s="9"/>
      <c r="BG496" s="9"/>
      <c r="BH496" s="9"/>
      <c r="BI496" s="9"/>
      <c r="BJ496" s="9"/>
      <c r="BK496" s="9"/>
      <c r="BL496" s="9"/>
      <c r="BM496" s="9"/>
      <c r="BN496" s="9"/>
      <c r="BO496" s="9"/>
      <c r="BP496" s="9"/>
      <c r="BQ496" s="9"/>
      <c r="BR496" s="9"/>
      <c r="BS496" s="9"/>
      <c r="BT496" s="9"/>
      <c r="BU496" s="9"/>
      <c r="BV496" s="9"/>
      <c r="BW496" s="9"/>
      <c r="BX496" s="9"/>
      <c r="BY496" s="9"/>
      <c r="BZ496" s="9"/>
      <c r="CA496" s="9"/>
      <c r="CB496" s="9"/>
      <c r="CC496" s="9"/>
      <c r="CD496" s="9"/>
      <c r="CE496" s="9"/>
      <c r="CF496" s="9"/>
      <c r="CG496" s="9"/>
      <c r="CH496" s="9"/>
      <c r="CI496" s="9"/>
      <c r="CJ496" s="9"/>
      <c r="CK496" s="9"/>
      <c r="CL496" s="9"/>
      <c r="CM496" s="9"/>
      <c r="CN496" s="9"/>
      <c r="CO496" s="9"/>
      <c r="CP496" s="9"/>
      <c r="CQ496" s="9"/>
      <c r="CR496" s="9"/>
      <c r="CS496" s="9"/>
      <c r="CT496" s="9"/>
      <c r="CU496" s="9"/>
      <c r="CV496" s="9"/>
      <c r="CW496" s="9"/>
      <c r="CX496" s="9"/>
      <c r="CY496" s="9"/>
      <c r="CZ496" s="9"/>
      <c r="DA496" s="9"/>
      <c r="DB496" s="9"/>
      <c r="DC496" s="9"/>
      <c r="DD496" s="9"/>
      <c r="DE496" s="9"/>
      <c r="DF496" s="9"/>
      <c r="DG496" s="9"/>
      <c r="DH496" s="9"/>
      <c r="DI496" s="9"/>
      <c r="DJ496" s="9"/>
      <c r="DK496" s="9"/>
      <c r="DL496" s="9"/>
      <c r="DM496" s="9"/>
      <c r="DN496" s="9"/>
      <c r="DO496" s="9"/>
      <c r="DP496" s="9"/>
      <c r="DQ496" s="9"/>
      <c r="DR496" s="9"/>
      <c r="DS496" s="9"/>
      <c r="DT496" s="9"/>
      <c r="DU496" s="9"/>
      <c r="DV496" s="9"/>
      <c r="DW496" s="9"/>
      <c r="DX496" s="9"/>
      <c r="DY496" s="9"/>
      <c r="DZ496" s="9"/>
      <c r="EA496" s="9"/>
      <c r="EB496" s="9"/>
      <c r="EC496" s="9"/>
      <c r="ED496" s="9"/>
      <c r="EE496" s="9"/>
      <c r="EF496" s="9"/>
      <c r="EG496" s="9"/>
      <c r="EH496" s="9"/>
      <c r="EI496" s="9"/>
      <c r="EJ496" s="9"/>
      <c r="EK496" s="9"/>
      <c r="EL496" s="9"/>
      <c r="EM496" s="9"/>
      <c r="EN496" s="9"/>
      <c r="EO496" s="9"/>
      <c r="EP496" s="9"/>
      <c r="EQ496" s="9"/>
      <c r="ER496" s="9"/>
      <c r="ES496" s="9"/>
      <c r="ET496" s="9"/>
      <c r="EU496" s="9"/>
      <c r="EV496" s="9"/>
      <c r="EW496" s="9"/>
      <c r="EX496" s="9"/>
      <c r="EY496" s="9"/>
      <c r="EZ496" s="9"/>
      <c r="FA496" s="9"/>
      <c r="FB496" s="9"/>
      <c r="FC496" s="9"/>
      <c r="FD496" s="9"/>
      <c r="FE496" s="9"/>
      <c r="FF496" s="9"/>
      <c r="FG496" s="9"/>
      <c r="FH496" s="9"/>
      <c r="FI496" s="9"/>
      <c r="FJ496" s="9"/>
      <c r="FK496" s="9"/>
      <c r="FL496" s="9"/>
      <c r="FM496" s="9"/>
      <c r="FN496" s="9"/>
      <c r="FO496" s="9"/>
      <c r="FP496" s="9"/>
      <c r="FQ496" s="9"/>
      <c r="FR496" s="9"/>
      <c r="FS496" s="9"/>
      <c r="FT496" s="9"/>
      <c r="FU496" s="9"/>
      <c r="FV496" s="9"/>
      <c r="FW496" s="9"/>
      <c r="FX496" s="9"/>
      <c r="FY496" s="9"/>
      <c r="FZ496" s="9"/>
      <c r="GA496" s="9"/>
      <c r="GB496" s="9"/>
      <c r="GC496" s="9"/>
      <c r="GD496" s="9"/>
      <c r="GE496" s="9"/>
      <c r="GF496" s="9"/>
      <c r="GG496" s="9"/>
      <c r="GH496" s="9"/>
      <c r="GI496" s="9"/>
      <c r="GJ496" s="9"/>
      <c r="GK496" s="9"/>
      <c r="GL496" s="9"/>
      <c r="GM496" s="9"/>
      <c r="GN496" s="9"/>
      <c r="GO496" s="9"/>
      <c r="GP496" s="9"/>
      <c r="GQ496" s="9"/>
      <c r="GR496" s="9"/>
      <c r="GS496" s="9"/>
      <c r="GT496" s="9"/>
      <c r="GU496" s="9"/>
      <c r="GV496" s="9"/>
      <c r="GW496" s="9"/>
      <c r="GX496" s="9"/>
      <c r="GY496" s="9"/>
      <c r="GZ496" s="9"/>
      <c r="HA496" s="9"/>
      <c r="HB496" s="9"/>
      <c r="HC496" s="9"/>
      <c r="HD496" s="9"/>
      <c r="HE496" s="9"/>
      <c r="HF496" s="9"/>
      <c r="HG496" s="9"/>
      <c r="HH496" s="9"/>
      <c r="HI496" s="9"/>
      <c r="HJ496" s="9"/>
      <c r="HK496" s="9"/>
      <c r="HL496" s="9"/>
      <c r="HM496" s="9"/>
      <c r="HN496" s="9"/>
      <c r="HO496" s="9"/>
      <c r="HP496" s="9"/>
      <c r="HQ496" s="9"/>
      <c r="HR496" s="9"/>
      <c r="HS496" s="9"/>
      <c r="HT496" s="9"/>
      <c r="HU496" s="9"/>
      <c r="HV496" s="9"/>
      <c r="HW496" s="9"/>
      <c r="HX496" s="9"/>
      <c r="HY496" s="9"/>
      <c r="HZ496" s="9"/>
      <c r="IA496" s="9"/>
      <c r="IB496" s="9"/>
      <c r="IC496" s="9"/>
      <c r="ID496" s="9"/>
      <c r="IE496" s="9"/>
      <c r="IF496" s="9"/>
      <c r="IG496" s="9"/>
      <c r="IH496" s="9"/>
      <c r="II496" s="9"/>
      <c r="IJ496" s="9"/>
      <c r="IK496" s="9"/>
      <c r="IL496" s="9"/>
      <c r="IM496" s="9"/>
      <c r="IN496" s="9"/>
      <c r="IO496" s="9"/>
      <c r="IP496" s="9"/>
      <c r="IQ496" s="9"/>
      <c r="IR496" s="9"/>
      <c r="IS496" s="9"/>
      <c r="IT496" s="9"/>
      <c r="IU496" s="9"/>
      <c r="IV496" s="9"/>
    </row>
    <row r="497" spans="1:256">
      <c r="B497" s="10" t="s">
        <v>1962</v>
      </c>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E497" s="9"/>
      <c r="BF497" s="9"/>
      <c r="BG497" s="9"/>
      <c r="BH497" s="9"/>
      <c r="BI497" s="9"/>
      <c r="BJ497" s="9"/>
      <c r="BK497" s="9"/>
      <c r="BL497" s="9"/>
      <c r="BM497" s="9"/>
      <c r="BN497" s="9"/>
      <c r="BO497" s="9"/>
      <c r="BP497" s="9"/>
      <c r="BQ497" s="9"/>
      <c r="BR497" s="9"/>
      <c r="BS497" s="9"/>
      <c r="BT497" s="9"/>
      <c r="BU497" s="9"/>
      <c r="BV497" s="9"/>
      <c r="BW497" s="9"/>
      <c r="BX497" s="9"/>
      <c r="BY497" s="9"/>
      <c r="BZ497" s="9"/>
      <c r="CA497" s="9"/>
      <c r="CB497" s="9"/>
      <c r="CC497" s="9"/>
      <c r="CD497" s="9"/>
      <c r="CE497" s="9"/>
      <c r="CF497" s="9"/>
      <c r="CG497" s="9"/>
      <c r="CH497" s="9"/>
      <c r="CI497" s="9"/>
      <c r="CJ497" s="9"/>
      <c r="CK497" s="9"/>
      <c r="CL497" s="9"/>
      <c r="CM497" s="9"/>
      <c r="CN497" s="9"/>
      <c r="CO497" s="9"/>
      <c r="CP497" s="9"/>
      <c r="CQ497" s="9"/>
      <c r="CR497" s="9"/>
      <c r="CS497" s="9"/>
      <c r="CT497" s="9"/>
      <c r="CU497" s="9"/>
      <c r="CV497" s="9"/>
      <c r="CW497" s="9"/>
      <c r="CX497" s="9"/>
      <c r="CY497" s="9"/>
      <c r="CZ497" s="9"/>
      <c r="DA497" s="9"/>
      <c r="DB497" s="9"/>
      <c r="DC497" s="9"/>
      <c r="DD497" s="9"/>
      <c r="DE497" s="9"/>
      <c r="DF497" s="9"/>
      <c r="DG497" s="9"/>
      <c r="DH497" s="9"/>
      <c r="DI497" s="9"/>
      <c r="DJ497" s="9"/>
      <c r="DK497" s="9"/>
      <c r="DL497" s="9"/>
      <c r="DM497" s="9"/>
      <c r="DN497" s="9"/>
      <c r="DO497" s="9"/>
      <c r="DP497" s="9"/>
      <c r="DQ497" s="9"/>
      <c r="DR497" s="9"/>
      <c r="DS497" s="9"/>
      <c r="DT497" s="9"/>
      <c r="DU497" s="9"/>
      <c r="DV497" s="9"/>
      <c r="DW497" s="9"/>
      <c r="DX497" s="9"/>
      <c r="DY497" s="9"/>
      <c r="DZ497" s="9"/>
      <c r="EA497" s="9"/>
      <c r="EB497" s="9"/>
      <c r="EC497" s="9"/>
      <c r="ED497" s="9"/>
      <c r="EE497" s="9"/>
      <c r="EF497" s="9"/>
      <c r="EG497" s="9"/>
      <c r="EH497" s="9"/>
      <c r="EI497" s="9"/>
      <c r="EJ497" s="9"/>
      <c r="EK497" s="9"/>
      <c r="EL497" s="9"/>
      <c r="EM497" s="9"/>
      <c r="EN497" s="9"/>
      <c r="EO497" s="9"/>
      <c r="EP497" s="9"/>
      <c r="EQ497" s="9"/>
      <c r="ER497" s="9"/>
      <c r="ES497" s="9"/>
      <c r="ET497" s="9"/>
      <c r="EU497" s="9"/>
      <c r="EV497" s="9"/>
      <c r="EW497" s="9"/>
      <c r="EX497" s="9"/>
      <c r="EY497" s="9"/>
      <c r="EZ497" s="9"/>
      <c r="FA497" s="9"/>
      <c r="FB497" s="9"/>
      <c r="FC497" s="9"/>
      <c r="FD497" s="9"/>
      <c r="FE497" s="9"/>
      <c r="FF497" s="9"/>
      <c r="FG497" s="9"/>
      <c r="FH497" s="9"/>
      <c r="FI497" s="9"/>
      <c r="FJ497" s="9"/>
      <c r="FK497" s="9"/>
      <c r="FL497" s="9"/>
      <c r="FM497" s="9"/>
      <c r="FN497" s="9"/>
      <c r="FO497" s="9"/>
      <c r="FP497" s="9"/>
      <c r="FQ497" s="9"/>
      <c r="FR497" s="9"/>
      <c r="FS497" s="9"/>
      <c r="FT497" s="9"/>
      <c r="FU497" s="9"/>
      <c r="FV497" s="9"/>
      <c r="FW497" s="9"/>
      <c r="FX497" s="9"/>
      <c r="FY497" s="9"/>
      <c r="FZ497" s="9"/>
      <c r="GA497" s="9"/>
      <c r="GB497" s="9"/>
      <c r="GC497" s="9"/>
      <c r="GD497" s="9"/>
      <c r="GE497" s="9"/>
      <c r="GF497" s="9"/>
      <c r="GG497" s="9"/>
      <c r="GH497" s="9"/>
      <c r="GI497" s="9"/>
      <c r="GJ497" s="9"/>
      <c r="GK497" s="9"/>
      <c r="GL497" s="9"/>
      <c r="GM497" s="9"/>
      <c r="GN497" s="9"/>
      <c r="GO497" s="9"/>
      <c r="GP497" s="9"/>
      <c r="GQ497" s="9"/>
      <c r="GR497" s="9"/>
      <c r="GS497" s="9"/>
      <c r="GT497" s="9"/>
      <c r="GU497" s="9"/>
      <c r="GV497" s="9"/>
      <c r="GW497" s="9"/>
      <c r="GX497" s="9"/>
      <c r="GY497" s="9"/>
      <c r="GZ497" s="9"/>
      <c r="HA497" s="9"/>
      <c r="HB497" s="9"/>
      <c r="HC497" s="9"/>
      <c r="HD497" s="9"/>
      <c r="HE497" s="9"/>
      <c r="HF497" s="9"/>
      <c r="HG497" s="9"/>
      <c r="HH497" s="9"/>
      <c r="HI497" s="9"/>
      <c r="HJ497" s="9"/>
      <c r="HK497" s="9"/>
      <c r="HL497" s="9"/>
      <c r="HM497" s="9"/>
      <c r="HN497" s="9"/>
      <c r="HO497" s="9"/>
      <c r="HP497" s="9"/>
      <c r="HQ497" s="9"/>
      <c r="HR497" s="9"/>
      <c r="HS497" s="9"/>
      <c r="HT497" s="9"/>
      <c r="HU497" s="9"/>
      <c r="HV497" s="9"/>
      <c r="HW497" s="9"/>
      <c r="HX497" s="9"/>
      <c r="HY497" s="9"/>
      <c r="HZ497" s="9"/>
      <c r="IA497" s="9"/>
      <c r="IB497" s="9"/>
      <c r="IC497" s="9"/>
      <c r="ID497" s="9"/>
      <c r="IE497" s="9"/>
      <c r="IF497" s="9"/>
      <c r="IG497" s="9"/>
      <c r="IH497" s="9"/>
      <c r="II497" s="9"/>
      <c r="IJ497" s="9"/>
      <c r="IK497" s="9"/>
      <c r="IL497" s="9"/>
      <c r="IM497" s="9"/>
      <c r="IN497" s="9"/>
      <c r="IO497" s="9"/>
      <c r="IP497" s="9"/>
      <c r="IQ497" s="9"/>
      <c r="IR497" s="9"/>
      <c r="IS497" s="9"/>
      <c r="IT497" s="9"/>
      <c r="IU497" s="9"/>
      <c r="IV497" s="9"/>
    </row>
    <row r="498" spans="1:256">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E498" s="9"/>
      <c r="BF498" s="9"/>
      <c r="BG498" s="9"/>
      <c r="BH498" s="9"/>
      <c r="BI498" s="9"/>
      <c r="BJ498" s="9"/>
      <c r="BK498" s="9"/>
      <c r="BL498" s="9"/>
      <c r="BM498" s="9"/>
      <c r="BN498" s="9"/>
      <c r="BO498" s="9"/>
      <c r="BP498" s="9"/>
      <c r="BQ498" s="9"/>
      <c r="BR498" s="9"/>
      <c r="BS498" s="9"/>
      <c r="BT498" s="9"/>
      <c r="BU498" s="9"/>
      <c r="BV498" s="9"/>
      <c r="BW498" s="9"/>
      <c r="BX498" s="9"/>
      <c r="BY498" s="9"/>
      <c r="BZ498" s="9"/>
      <c r="CA498" s="9"/>
      <c r="CB498" s="9"/>
      <c r="CC498" s="9"/>
      <c r="CD498" s="9"/>
      <c r="CE498" s="9"/>
      <c r="CF498" s="9"/>
      <c r="CG498" s="9"/>
      <c r="CH498" s="9"/>
      <c r="CI498" s="9"/>
      <c r="CJ498" s="9"/>
      <c r="CK498" s="9"/>
      <c r="CL498" s="9"/>
      <c r="CM498" s="9"/>
      <c r="CN498" s="9"/>
      <c r="CO498" s="9"/>
      <c r="CP498" s="9"/>
      <c r="CQ498" s="9"/>
      <c r="CR498" s="9"/>
      <c r="CS498" s="9"/>
      <c r="CT498" s="9"/>
      <c r="CU498" s="9"/>
      <c r="CV498" s="9"/>
      <c r="CW498" s="9"/>
      <c r="CX498" s="9"/>
      <c r="CY498" s="9"/>
      <c r="CZ498" s="9"/>
      <c r="DA498" s="9"/>
      <c r="DB498" s="9"/>
      <c r="DC498" s="9"/>
      <c r="DD498" s="9"/>
      <c r="DE498" s="9"/>
      <c r="DF498" s="9"/>
      <c r="DG498" s="9"/>
      <c r="DH498" s="9"/>
      <c r="DI498" s="9"/>
      <c r="DJ498" s="9"/>
      <c r="DK498" s="9"/>
      <c r="DL498" s="9"/>
      <c r="DM498" s="9"/>
      <c r="DN498" s="9"/>
      <c r="DO498" s="9"/>
      <c r="DP498" s="9"/>
      <c r="DQ498" s="9"/>
      <c r="DR498" s="9"/>
      <c r="DS498" s="9"/>
      <c r="DT498" s="9"/>
      <c r="DU498" s="9"/>
      <c r="DV498" s="9"/>
      <c r="DW498" s="9"/>
      <c r="DX498" s="9"/>
      <c r="DY498" s="9"/>
      <c r="DZ498" s="9"/>
      <c r="EA498" s="9"/>
      <c r="EB498" s="9"/>
      <c r="EC498" s="9"/>
      <c r="ED498" s="9"/>
      <c r="EE498" s="9"/>
      <c r="EF498" s="9"/>
      <c r="EG498" s="9"/>
      <c r="EH498" s="9"/>
      <c r="EI498" s="9"/>
      <c r="EJ498" s="9"/>
      <c r="EK498" s="9"/>
      <c r="EL498" s="9"/>
      <c r="EM498" s="9"/>
      <c r="EN498" s="9"/>
      <c r="EO498" s="9"/>
      <c r="EP498" s="9"/>
      <c r="EQ498" s="9"/>
      <c r="ER498" s="9"/>
      <c r="ES498" s="9"/>
      <c r="ET498" s="9"/>
      <c r="EU498" s="9"/>
      <c r="EV498" s="9"/>
      <c r="EW498" s="9"/>
      <c r="EX498" s="9"/>
      <c r="EY498" s="9"/>
      <c r="EZ498" s="9"/>
      <c r="FA498" s="9"/>
      <c r="FB498" s="9"/>
      <c r="FC498" s="9"/>
      <c r="FD498" s="9"/>
      <c r="FE498" s="9"/>
      <c r="FF498" s="9"/>
      <c r="FG498" s="9"/>
      <c r="FH498" s="9"/>
      <c r="FI498" s="9"/>
      <c r="FJ498" s="9"/>
      <c r="FK498" s="9"/>
      <c r="FL498" s="9"/>
      <c r="FM498" s="9"/>
      <c r="FN498" s="9"/>
      <c r="FO498" s="9"/>
      <c r="FP498" s="9"/>
      <c r="FQ498" s="9"/>
      <c r="FR498" s="9"/>
      <c r="FS498" s="9"/>
      <c r="FT498" s="9"/>
      <c r="FU498" s="9"/>
      <c r="FV498" s="9"/>
      <c r="FW498" s="9"/>
      <c r="FX498" s="9"/>
      <c r="FY498" s="9"/>
      <c r="FZ498" s="9"/>
      <c r="GA498" s="9"/>
      <c r="GB498" s="9"/>
      <c r="GC498" s="9"/>
      <c r="GD498" s="9"/>
      <c r="GE498" s="9"/>
      <c r="GF498" s="9"/>
      <c r="GG498" s="9"/>
      <c r="GH498" s="9"/>
      <c r="GI498" s="9"/>
      <c r="GJ498" s="9"/>
      <c r="GK498" s="9"/>
      <c r="GL498" s="9"/>
      <c r="GM498" s="9"/>
      <c r="GN498" s="9"/>
      <c r="GO498" s="9"/>
      <c r="GP498" s="9"/>
      <c r="GQ498" s="9"/>
      <c r="GR498" s="9"/>
      <c r="GS498" s="9"/>
      <c r="GT498" s="9"/>
      <c r="GU498" s="9"/>
      <c r="GV498" s="9"/>
      <c r="GW498" s="9"/>
      <c r="GX498" s="9"/>
      <c r="GY498" s="9"/>
      <c r="GZ498" s="9"/>
      <c r="HA498" s="9"/>
      <c r="HB498" s="9"/>
      <c r="HC498" s="9"/>
      <c r="HD498" s="9"/>
      <c r="HE498" s="9"/>
      <c r="HF498" s="9"/>
      <c r="HG498" s="9"/>
      <c r="HH498" s="9"/>
      <c r="HI498" s="9"/>
      <c r="HJ498" s="9"/>
      <c r="HK498" s="9"/>
      <c r="HL498" s="9"/>
      <c r="HM498" s="9"/>
      <c r="HN498" s="9"/>
      <c r="HO498" s="9"/>
      <c r="HP498" s="9"/>
      <c r="HQ498" s="9"/>
      <c r="HR498" s="9"/>
      <c r="HS498" s="9"/>
      <c r="HT498" s="9"/>
      <c r="HU498" s="9"/>
      <c r="HV498" s="9"/>
      <c r="HW498" s="9"/>
      <c r="HX498" s="9"/>
      <c r="HY498" s="9"/>
      <c r="HZ498" s="9"/>
      <c r="IA498" s="9"/>
      <c r="IB498" s="9"/>
      <c r="IC498" s="9"/>
      <c r="ID498" s="9"/>
      <c r="IE498" s="9"/>
      <c r="IF498" s="9"/>
      <c r="IG498" s="9"/>
      <c r="IH498" s="9"/>
      <c r="II498" s="9"/>
      <c r="IJ498" s="9"/>
      <c r="IK498" s="9"/>
      <c r="IL498" s="9"/>
      <c r="IM498" s="9"/>
      <c r="IN498" s="9"/>
      <c r="IO498" s="9"/>
      <c r="IP498" s="9"/>
      <c r="IQ498" s="9"/>
      <c r="IR498" s="9"/>
      <c r="IS498" s="9"/>
      <c r="IT498" s="9"/>
      <c r="IU498" s="9"/>
      <c r="IV498" s="9"/>
    </row>
    <row r="499" spans="1:256">
      <c r="A499" s="9" t="s">
        <v>824</v>
      </c>
      <c r="B499" s="9" t="s">
        <v>1672</v>
      </c>
      <c r="C499" s="9"/>
      <c r="D499" s="10"/>
      <c r="E499" s="9"/>
      <c r="F499" s="10"/>
      <c r="G499" s="9"/>
      <c r="H499" s="10"/>
      <c r="I499" s="9"/>
      <c r="J499" s="10"/>
      <c r="K499" s="9"/>
      <c r="L499" s="10"/>
      <c r="M499" s="9"/>
      <c r="N499" s="10"/>
      <c r="O499" s="9"/>
      <c r="P499" s="10"/>
      <c r="Q499" s="9"/>
      <c r="R499" s="10"/>
      <c r="S499" s="9"/>
      <c r="T499" s="10"/>
      <c r="U499" s="9"/>
      <c r="V499" s="10"/>
      <c r="W499" s="9"/>
      <c r="X499" s="10"/>
      <c r="Y499" s="9"/>
      <c r="Z499" s="10"/>
      <c r="AA499" s="9"/>
      <c r="AB499" s="10"/>
      <c r="AC499" s="9"/>
      <c r="AD499" s="10"/>
      <c r="AE499" s="9"/>
      <c r="AF499" s="10"/>
      <c r="AG499" s="9"/>
      <c r="AH499" s="10"/>
      <c r="AI499" s="9"/>
      <c r="AJ499" s="10"/>
      <c r="AK499" s="9"/>
      <c r="AL499" s="10"/>
      <c r="AM499" s="9"/>
      <c r="AN499" s="10"/>
      <c r="AO499" s="9"/>
      <c r="AP499" s="10"/>
      <c r="AQ499" s="9"/>
      <c r="AR499" s="10"/>
      <c r="AS499" s="9"/>
      <c r="AT499" s="10"/>
      <c r="AU499" s="9"/>
      <c r="AV499" s="10"/>
      <c r="AW499" s="9"/>
      <c r="AX499" s="10"/>
      <c r="AY499" s="9"/>
      <c r="AZ499" s="10"/>
      <c r="BA499" s="9"/>
      <c r="BB499" s="10"/>
      <c r="BC499" s="9"/>
      <c r="BD499" s="10"/>
      <c r="BE499" s="9"/>
      <c r="BF499" s="10"/>
      <c r="BG499" s="9"/>
      <c r="BH499" s="10"/>
      <c r="BI499" s="9"/>
      <c r="BJ499" s="10"/>
      <c r="BK499" s="9"/>
      <c r="BL499" s="10"/>
      <c r="BM499" s="9"/>
      <c r="BN499" s="10"/>
      <c r="BO499" s="9"/>
      <c r="BP499" s="10"/>
      <c r="BQ499" s="9"/>
      <c r="BR499" s="10"/>
      <c r="BS499" s="9"/>
      <c r="BT499" s="10"/>
      <c r="BU499" s="9"/>
      <c r="BV499" s="10"/>
      <c r="BW499" s="9"/>
      <c r="BX499" s="10"/>
      <c r="BY499" s="9"/>
      <c r="BZ499" s="10"/>
      <c r="CA499" s="9"/>
      <c r="CB499" s="10"/>
      <c r="CC499" s="9"/>
      <c r="CD499" s="10"/>
      <c r="CE499" s="9"/>
      <c r="CF499" s="10"/>
      <c r="CG499" s="9"/>
      <c r="CH499" s="10"/>
      <c r="CI499" s="9"/>
      <c r="CJ499" s="10"/>
      <c r="CK499" s="9"/>
      <c r="CL499" s="10"/>
      <c r="CM499" s="9"/>
      <c r="CN499" s="10"/>
      <c r="CO499" s="9"/>
      <c r="CP499" s="10"/>
      <c r="CQ499" s="9"/>
      <c r="CR499" s="10"/>
      <c r="CS499" s="9"/>
      <c r="CT499" s="10"/>
      <c r="CU499" s="9"/>
      <c r="CV499" s="10"/>
      <c r="CW499" s="9"/>
      <c r="CX499" s="10"/>
      <c r="CY499" s="9"/>
      <c r="CZ499" s="10"/>
      <c r="DA499" s="9"/>
      <c r="DB499" s="10"/>
      <c r="DC499" s="9"/>
      <c r="DD499" s="10"/>
      <c r="DE499" s="9"/>
      <c r="DF499" s="10"/>
      <c r="DG499" s="9"/>
      <c r="DH499" s="10"/>
      <c r="DI499" s="9"/>
      <c r="DJ499" s="10"/>
      <c r="DK499" s="9"/>
      <c r="DL499" s="10"/>
      <c r="DM499" s="9"/>
      <c r="DN499" s="10"/>
      <c r="DO499" s="9"/>
      <c r="DP499" s="10"/>
      <c r="DQ499" s="9"/>
      <c r="DR499" s="10"/>
      <c r="DS499" s="9"/>
      <c r="DT499" s="10"/>
      <c r="DU499" s="9"/>
      <c r="DV499" s="10"/>
      <c r="DW499" s="9"/>
      <c r="DX499" s="10"/>
      <c r="DY499" s="9"/>
      <c r="DZ499" s="10"/>
      <c r="EA499" s="9"/>
      <c r="EB499" s="10"/>
      <c r="EC499" s="9"/>
      <c r="ED499" s="10"/>
      <c r="EE499" s="9"/>
      <c r="EF499" s="10"/>
      <c r="EG499" s="9"/>
      <c r="EH499" s="10"/>
      <c r="EI499" s="9"/>
      <c r="EJ499" s="10"/>
      <c r="EK499" s="9"/>
      <c r="EL499" s="10"/>
      <c r="EM499" s="9"/>
      <c r="EN499" s="10"/>
      <c r="EO499" s="9"/>
      <c r="EP499" s="10"/>
      <c r="EQ499" s="9"/>
      <c r="ER499" s="10"/>
      <c r="ES499" s="9"/>
      <c r="ET499" s="10"/>
      <c r="EU499" s="9"/>
      <c r="EV499" s="10"/>
      <c r="EW499" s="9"/>
      <c r="EX499" s="10"/>
      <c r="EY499" s="9"/>
      <c r="EZ499" s="10"/>
      <c r="FA499" s="9"/>
      <c r="FB499" s="10"/>
      <c r="FC499" s="9"/>
      <c r="FD499" s="10"/>
      <c r="FE499" s="9"/>
      <c r="FF499" s="10"/>
      <c r="FG499" s="9"/>
      <c r="FH499" s="10"/>
      <c r="FI499" s="9"/>
      <c r="FJ499" s="10"/>
      <c r="FK499" s="9"/>
      <c r="FL499" s="10"/>
      <c r="FM499" s="9"/>
      <c r="FN499" s="10"/>
      <c r="FO499" s="9"/>
      <c r="FP499" s="10"/>
      <c r="FQ499" s="9"/>
      <c r="FR499" s="10"/>
      <c r="FS499" s="9"/>
      <c r="FT499" s="10"/>
      <c r="FU499" s="9"/>
      <c r="FV499" s="10"/>
      <c r="FW499" s="9"/>
      <c r="FX499" s="10"/>
      <c r="FY499" s="9"/>
      <c r="FZ499" s="10"/>
      <c r="GA499" s="9"/>
      <c r="GB499" s="10"/>
      <c r="GC499" s="9"/>
      <c r="GD499" s="10"/>
      <c r="GE499" s="9"/>
      <c r="GF499" s="10"/>
      <c r="GG499" s="9"/>
      <c r="GH499" s="10"/>
      <c r="GI499" s="9"/>
      <c r="GJ499" s="10"/>
      <c r="GK499" s="9"/>
      <c r="GL499" s="10"/>
      <c r="GM499" s="9"/>
      <c r="GN499" s="10"/>
      <c r="GO499" s="9"/>
      <c r="GP499" s="10"/>
      <c r="GQ499" s="9"/>
      <c r="GR499" s="10"/>
      <c r="GS499" s="9"/>
      <c r="GT499" s="10"/>
      <c r="GU499" s="9"/>
      <c r="GV499" s="10"/>
      <c r="GW499" s="9"/>
      <c r="GX499" s="10"/>
      <c r="GY499" s="9"/>
      <c r="GZ499" s="10"/>
      <c r="HA499" s="9"/>
      <c r="HB499" s="10"/>
      <c r="HC499" s="9"/>
      <c r="HD499" s="10"/>
      <c r="HE499" s="9"/>
      <c r="HF499" s="10"/>
      <c r="HG499" s="9"/>
      <c r="HH499" s="10"/>
      <c r="HI499" s="9"/>
      <c r="HJ499" s="10"/>
      <c r="HK499" s="9"/>
      <c r="HL499" s="10"/>
      <c r="HM499" s="9"/>
      <c r="HN499" s="10"/>
      <c r="HO499" s="9"/>
      <c r="HP499" s="10"/>
      <c r="HQ499" s="9"/>
      <c r="HR499" s="10"/>
      <c r="HS499" s="9"/>
      <c r="HT499" s="10"/>
      <c r="HU499" s="9"/>
      <c r="HV499" s="10"/>
      <c r="HW499" s="9"/>
      <c r="HX499" s="10"/>
      <c r="HY499" s="9"/>
      <c r="HZ499" s="10"/>
      <c r="IA499" s="9"/>
      <c r="IB499" s="10"/>
      <c r="IC499" s="9"/>
      <c r="ID499" s="10"/>
      <c r="IE499" s="9"/>
      <c r="IF499" s="10"/>
      <c r="IG499" s="9"/>
      <c r="IH499" s="10"/>
      <c r="II499" s="9"/>
      <c r="IJ499" s="10"/>
      <c r="IK499" s="9"/>
      <c r="IL499" s="10"/>
      <c r="IM499" s="9"/>
      <c r="IN499" s="10"/>
      <c r="IO499" s="9"/>
      <c r="IP499" s="10"/>
      <c r="IQ499" s="9"/>
      <c r="IR499" s="10"/>
      <c r="IS499" s="9"/>
      <c r="IT499" s="10"/>
      <c r="IU499" s="9"/>
      <c r="IV499" s="10"/>
    </row>
    <row r="500" spans="1:256">
      <c r="A500" s="9" t="s">
        <v>2247</v>
      </c>
      <c r="B500" s="9" t="s">
        <v>1673</v>
      </c>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c r="BY500" s="9"/>
      <c r="BZ500" s="9"/>
      <c r="CA500" s="9"/>
      <c r="CB500" s="9"/>
      <c r="CC500" s="9"/>
      <c r="CD500" s="9"/>
      <c r="CE500" s="9"/>
      <c r="CF500" s="9"/>
      <c r="CG500" s="9"/>
      <c r="CH500" s="9"/>
      <c r="CI500" s="9"/>
      <c r="CJ500" s="9"/>
      <c r="CK500" s="9"/>
      <c r="CL500" s="9"/>
      <c r="CM500" s="9"/>
      <c r="CN500" s="9"/>
      <c r="CO500" s="9"/>
      <c r="CP500" s="9"/>
      <c r="CQ500" s="9"/>
      <c r="CR500" s="9"/>
      <c r="CS500" s="9"/>
      <c r="CT500" s="9"/>
      <c r="CU500" s="9"/>
      <c r="CV500" s="9"/>
      <c r="CW500" s="9"/>
      <c r="CX500" s="9"/>
      <c r="CY500" s="9"/>
      <c r="CZ500" s="9"/>
      <c r="DA500" s="9"/>
      <c r="DB500" s="9"/>
      <c r="DC500" s="9"/>
      <c r="DD500" s="9"/>
      <c r="DE500" s="9"/>
      <c r="DF500" s="9"/>
      <c r="DG500" s="9"/>
      <c r="DH500" s="9"/>
      <c r="DI500" s="9"/>
      <c r="DJ500" s="9"/>
      <c r="DK500" s="9"/>
      <c r="DL500" s="9"/>
      <c r="DM500" s="9"/>
      <c r="DN500" s="9"/>
      <c r="DO500" s="9"/>
      <c r="DP500" s="9"/>
      <c r="DQ500" s="9"/>
      <c r="DR500" s="9"/>
      <c r="DS500" s="9"/>
      <c r="DT500" s="9"/>
      <c r="DU500" s="9"/>
      <c r="DV500" s="9"/>
      <c r="DW500" s="9"/>
      <c r="DX500" s="9"/>
      <c r="DY500" s="9"/>
      <c r="DZ500" s="9"/>
      <c r="EA500" s="9"/>
      <c r="EB500" s="9"/>
      <c r="EC500" s="9"/>
      <c r="ED500" s="9"/>
      <c r="EE500" s="9"/>
      <c r="EF500" s="9"/>
      <c r="EG500" s="9"/>
      <c r="EH500" s="9"/>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c r="FW500" s="9"/>
      <c r="FX500" s="9"/>
      <c r="FY500" s="9"/>
      <c r="FZ500" s="9"/>
      <c r="GA500" s="9"/>
      <c r="GB500" s="9"/>
      <c r="GC500" s="9"/>
      <c r="GD500" s="9"/>
      <c r="GE500" s="9"/>
      <c r="GF500" s="9"/>
      <c r="GG500" s="9"/>
      <c r="GH500" s="9"/>
      <c r="GI500" s="9"/>
      <c r="GJ500" s="9"/>
      <c r="GK500" s="9"/>
      <c r="GL500" s="9"/>
      <c r="GM500" s="9"/>
      <c r="GN500" s="9"/>
      <c r="GO500" s="9"/>
      <c r="GP500" s="9"/>
      <c r="GQ500" s="9"/>
      <c r="GR500" s="9"/>
      <c r="GS500" s="9"/>
      <c r="GT500" s="9"/>
      <c r="GU500" s="9"/>
      <c r="GV500" s="9"/>
      <c r="GW500" s="9"/>
      <c r="GX500" s="9"/>
      <c r="GY500" s="9"/>
      <c r="GZ500" s="9"/>
      <c r="HA500" s="9"/>
      <c r="HB500" s="9"/>
      <c r="HC500" s="9"/>
      <c r="HD500" s="9"/>
      <c r="HE500" s="9"/>
      <c r="HF500" s="9"/>
      <c r="HG500" s="9"/>
      <c r="HH500" s="9"/>
      <c r="HI500" s="9"/>
      <c r="HJ500" s="9"/>
      <c r="HK500" s="9"/>
      <c r="HL500" s="9"/>
      <c r="HM500" s="9"/>
      <c r="HN500" s="9"/>
      <c r="HO500" s="9"/>
      <c r="HP500" s="9"/>
      <c r="HQ500" s="9"/>
      <c r="HR500" s="9"/>
      <c r="HS500" s="9"/>
      <c r="HT500" s="9"/>
      <c r="HU500" s="9"/>
      <c r="HV500" s="9"/>
      <c r="HW500" s="9"/>
      <c r="HX500" s="9"/>
      <c r="HY500" s="9"/>
      <c r="HZ500" s="9"/>
      <c r="IA500" s="9"/>
      <c r="IB500" s="9"/>
      <c r="IC500" s="9"/>
      <c r="ID500" s="9"/>
      <c r="IE500" s="9"/>
      <c r="IF500" s="9"/>
      <c r="IG500" s="9"/>
      <c r="IH500" s="9"/>
      <c r="II500" s="9"/>
      <c r="IJ500" s="9"/>
      <c r="IK500" s="9"/>
      <c r="IL500" s="9"/>
      <c r="IM500" s="9"/>
      <c r="IN500" s="9"/>
      <c r="IO500" s="9"/>
      <c r="IP500" s="9"/>
      <c r="IQ500" s="9"/>
      <c r="IR500" s="9"/>
      <c r="IS500" s="9"/>
      <c r="IT500" s="9"/>
      <c r="IU500" s="9"/>
      <c r="IV500" s="9"/>
    </row>
    <row r="501" spans="1:256">
      <c r="B501" s="9" t="s">
        <v>1242</v>
      </c>
      <c r="C501" s="9"/>
      <c r="D501" s="10"/>
      <c r="E501" s="9"/>
      <c r="F501" s="10"/>
      <c r="G501" s="9"/>
      <c r="H501" s="10"/>
      <c r="I501" s="9"/>
      <c r="J501" s="10"/>
      <c r="K501" s="9"/>
      <c r="L501" s="10"/>
      <c r="M501" s="9"/>
      <c r="N501" s="10"/>
      <c r="O501" s="9"/>
      <c r="P501" s="10"/>
      <c r="Q501" s="9"/>
      <c r="R501" s="10"/>
      <c r="S501" s="9"/>
      <c r="T501" s="10"/>
      <c r="U501" s="9"/>
      <c r="V501" s="10"/>
      <c r="W501" s="9"/>
      <c r="X501" s="10"/>
      <c r="Y501" s="9"/>
      <c r="Z501" s="10"/>
      <c r="AA501" s="9"/>
      <c r="AB501" s="10"/>
      <c r="AC501" s="9"/>
      <c r="AD501" s="10"/>
      <c r="AE501" s="9"/>
      <c r="AF501" s="10"/>
      <c r="AG501" s="9"/>
      <c r="AH501" s="10"/>
      <c r="AI501" s="9"/>
      <c r="AJ501" s="10"/>
      <c r="AK501" s="9"/>
      <c r="AL501" s="10"/>
      <c r="AM501" s="9"/>
      <c r="AN501" s="10"/>
      <c r="AO501" s="9"/>
      <c r="AP501" s="10"/>
      <c r="AQ501" s="9"/>
      <c r="AR501" s="10"/>
      <c r="AS501" s="9"/>
      <c r="AT501" s="10"/>
      <c r="AU501" s="9"/>
      <c r="AV501" s="10"/>
      <c r="AW501" s="9"/>
      <c r="AX501" s="10"/>
      <c r="AY501" s="9"/>
      <c r="AZ501" s="10"/>
      <c r="BA501" s="9"/>
      <c r="BB501" s="10"/>
      <c r="BC501" s="9"/>
      <c r="BD501" s="10"/>
      <c r="BE501" s="9"/>
      <c r="BF501" s="10"/>
      <c r="BG501" s="9"/>
      <c r="BH501" s="10"/>
      <c r="BI501" s="9"/>
      <c r="BJ501" s="10"/>
      <c r="BK501" s="9"/>
      <c r="BL501" s="10"/>
      <c r="BM501" s="9"/>
      <c r="BN501" s="10"/>
      <c r="BO501" s="9"/>
      <c r="BP501" s="10"/>
      <c r="BQ501" s="9"/>
      <c r="BR501" s="10"/>
      <c r="BS501" s="9"/>
      <c r="BT501" s="10"/>
      <c r="BU501" s="9"/>
      <c r="BV501" s="10"/>
      <c r="BW501" s="9"/>
      <c r="BX501" s="10"/>
      <c r="BY501" s="9"/>
      <c r="BZ501" s="10"/>
      <c r="CA501" s="9"/>
      <c r="CB501" s="10"/>
      <c r="CC501" s="9"/>
      <c r="CD501" s="10"/>
      <c r="CE501" s="9"/>
      <c r="CF501" s="10"/>
      <c r="CG501" s="9"/>
      <c r="CH501" s="10"/>
      <c r="CI501" s="9"/>
      <c r="CJ501" s="10"/>
      <c r="CK501" s="9"/>
      <c r="CL501" s="10"/>
      <c r="CM501" s="9"/>
      <c r="CN501" s="10"/>
      <c r="CO501" s="9"/>
      <c r="CP501" s="10"/>
      <c r="CQ501" s="9"/>
      <c r="CR501" s="10"/>
      <c r="CS501" s="9"/>
      <c r="CT501" s="10"/>
      <c r="CU501" s="9"/>
      <c r="CV501" s="10"/>
      <c r="CW501" s="9"/>
      <c r="CX501" s="10"/>
      <c r="CY501" s="9"/>
      <c r="CZ501" s="10"/>
      <c r="DA501" s="9"/>
      <c r="DB501" s="10"/>
      <c r="DC501" s="9"/>
      <c r="DD501" s="10"/>
      <c r="DE501" s="9"/>
      <c r="DF501" s="10"/>
      <c r="DG501" s="9"/>
      <c r="DH501" s="10"/>
      <c r="DI501" s="9"/>
      <c r="DJ501" s="10"/>
      <c r="DK501" s="9"/>
      <c r="DL501" s="10"/>
      <c r="DM501" s="9"/>
      <c r="DN501" s="10"/>
      <c r="DO501" s="9"/>
      <c r="DP501" s="10"/>
      <c r="DQ501" s="9"/>
      <c r="DR501" s="10"/>
      <c r="DS501" s="9"/>
      <c r="DT501" s="10"/>
      <c r="DU501" s="9"/>
      <c r="DV501" s="10"/>
      <c r="DW501" s="9"/>
      <c r="DX501" s="10"/>
      <c r="DY501" s="9"/>
      <c r="DZ501" s="10"/>
      <c r="EA501" s="9"/>
      <c r="EB501" s="10"/>
      <c r="EC501" s="9"/>
      <c r="ED501" s="10"/>
      <c r="EE501" s="9"/>
      <c r="EF501" s="10"/>
      <c r="EG501" s="9"/>
      <c r="EH501" s="10"/>
      <c r="EI501" s="9"/>
      <c r="EJ501" s="10"/>
      <c r="EK501" s="9"/>
      <c r="EL501" s="10"/>
      <c r="EM501" s="9"/>
      <c r="EN501" s="10"/>
      <c r="EO501" s="9"/>
      <c r="EP501" s="10"/>
      <c r="EQ501" s="9"/>
      <c r="ER501" s="10"/>
      <c r="ES501" s="9"/>
      <c r="ET501" s="10"/>
      <c r="EU501" s="9"/>
      <c r="EV501" s="10"/>
      <c r="EW501" s="9"/>
      <c r="EX501" s="10"/>
      <c r="EY501" s="9"/>
      <c r="EZ501" s="10"/>
      <c r="FA501" s="9"/>
      <c r="FB501" s="10"/>
      <c r="FC501" s="9"/>
      <c r="FD501" s="10"/>
      <c r="FE501" s="9"/>
      <c r="FF501" s="10"/>
      <c r="FG501" s="9"/>
      <c r="FH501" s="10"/>
      <c r="FI501" s="9"/>
      <c r="FJ501" s="10"/>
      <c r="FK501" s="9"/>
      <c r="FL501" s="10"/>
      <c r="FM501" s="9"/>
      <c r="FN501" s="10"/>
      <c r="FO501" s="9"/>
      <c r="FP501" s="10"/>
      <c r="FQ501" s="9"/>
      <c r="FR501" s="10"/>
      <c r="FS501" s="9"/>
      <c r="FT501" s="10"/>
      <c r="FU501" s="9"/>
      <c r="FV501" s="10"/>
      <c r="FW501" s="9"/>
      <c r="FX501" s="10"/>
      <c r="FY501" s="9"/>
      <c r="FZ501" s="10"/>
      <c r="GA501" s="9"/>
      <c r="GB501" s="10"/>
      <c r="GC501" s="9"/>
      <c r="GD501" s="10"/>
      <c r="GE501" s="9"/>
      <c r="GF501" s="10"/>
      <c r="GG501" s="9"/>
      <c r="GH501" s="10"/>
      <c r="GI501" s="9"/>
      <c r="GJ501" s="10"/>
      <c r="GK501" s="9"/>
      <c r="GL501" s="10"/>
      <c r="GM501" s="9"/>
      <c r="GN501" s="10"/>
      <c r="GO501" s="9"/>
      <c r="GP501" s="10"/>
      <c r="GQ501" s="9"/>
      <c r="GR501" s="10"/>
      <c r="GS501" s="9"/>
      <c r="GT501" s="10"/>
      <c r="GU501" s="9"/>
      <c r="GV501" s="10"/>
      <c r="GW501" s="9"/>
      <c r="GX501" s="10"/>
      <c r="GY501" s="9"/>
      <c r="GZ501" s="10"/>
      <c r="HA501" s="9"/>
      <c r="HB501" s="10"/>
      <c r="HC501" s="9"/>
      <c r="HD501" s="10"/>
      <c r="HE501" s="9"/>
      <c r="HF501" s="10"/>
      <c r="HG501" s="9"/>
      <c r="HH501" s="10"/>
      <c r="HI501" s="9"/>
      <c r="HJ501" s="10"/>
      <c r="HK501" s="9"/>
      <c r="HL501" s="10"/>
      <c r="HM501" s="9"/>
      <c r="HN501" s="10"/>
      <c r="HO501" s="9"/>
      <c r="HP501" s="10"/>
      <c r="HQ501" s="9"/>
      <c r="HR501" s="10"/>
      <c r="HS501" s="9"/>
      <c r="HT501" s="10"/>
      <c r="HU501" s="9"/>
      <c r="HV501" s="10"/>
      <c r="HW501" s="9"/>
      <c r="HX501" s="10"/>
      <c r="HY501" s="9"/>
      <c r="HZ501" s="10"/>
      <c r="IA501" s="9"/>
      <c r="IB501" s="10"/>
      <c r="IC501" s="9"/>
      <c r="ID501" s="10"/>
      <c r="IE501" s="9"/>
      <c r="IF501" s="10"/>
      <c r="IG501" s="9"/>
      <c r="IH501" s="10"/>
      <c r="II501" s="9"/>
      <c r="IJ501" s="10"/>
      <c r="IK501" s="9"/>
      <c r="IL501" s="10"/>
      <c r="IM501" s="9"/>
      <c r="IN501" s="10"/>
      <c r="IO501" s="9"/>
      <c r="IP501" s="10"/>
      <c r="IQ501" s="9"/>
      <c r="IR501" s="10"/>
      <c r="IS501" s="9"/>
      <c r="IT501" s="10"/>
      <c r="IU501" s="9"/>
      <c r="IV501" s="10"/>
    </row>
    <row r="502" spans="1:256">
      <c r="B502" s="9" t="s">
        <v>2176</v>
      </c>
      <c r="C502" s="9"/>
      <c r="D502" s="10"/>
      <c r="E502" s="9"/>
      <c r="F502" s="10"/>
      <c r="G502" s="9"/>
      <c r="H502" s="10"/>
      <c r="I502" s="9"/>
      <c r="J502" s="10"/>
      <c r="K502" s="9"/>
      <c r="L502" s="10"/>
      <c r="M502" s="9"/>
      <c r="N502" s="10"/>
      <c r="O502" s="9"/>
      <c r="P502" s="10"/>
      <c r="Q502" s="9"/>
      <c r="R502" s="10"/>
      <c r="S502" s="9"/>
      <c r="T502" s="10"/>
      <c r="U502" s="9"/>
      <c r="V502" s="10"/>
      <c r="W502" s="9"/>
      <c r="X502" s="10"/>
      <c r="Y502" s="9"/>
      <c r="Z502" s="10"/>
      <c r="AA502" s="9"/>
      <c r="AB502" s="10"/>
      <c r="AC502" s="9"/>
      <c r="AD502" s="10"/>
      <c r="AE502" s="9"/>
      <c r="AF502" s="10"/>
      <c r="AG502" s="9"/>
      <c r="AH502" s="10"/>
      <c r="AI502" s="9"/>
      <c r="AJ502" s="10"/>
      <c r="AK502" s="9"/>
      <c r="AL502" s="10"/>
      <c r="AM502" s="9"/>
      <c r="AN502" s="10"/>
      <c r="AO502" s="9"/>
      <c r="AP502" s="10"/>
      <c r="AQ502" s="9"/>
      <c r="AR502" s="10"/>
      <c r="AS502" s="9"/>
      <c r="AT502" s="10"/>
      <c r="AU502" s="9"/>
      <c r="AV502" s="10"/>
      <c r="AW502" s="9"/>
      <c r="AX502" s="10"/>
      <c r="AY502" s="9"/>
      <c r="AZ502" s="10"/>
      <c r="BA502" s="9"/>
      <c r="BB502" s="10"/>
      <c r="BC502" s="9"/>
      <c r="BD502" s="10"/>
      <c r="BE502" s="9"/>
      <c r="BF502" s="10"/>
      <c r="BG502" s="9"/>
      <c r="BH502" s="10"/>
      <c r="BI502" s="9"/>
      <c r="BJ502" s="10"/>
      <c r="BK502" s="9"/>
      <c r="BL502" s="10"/>
      <c r="BM502" s="9"/>
      <c r="BN502" s="10"/>
      <c r="BO502" s="9"/>
      <c r="BP502" s="10"/>
      <c r="BQ502" s="9"/>
      <c r="BR502" s="10"/>
      <c r="BS502" s="9"/>
      <c r="BT502" s="10"/>
      <c r="BU502" s="9"/>
      <c r="BV502" s="10"/>
      <c r="BW502" s="9"/>
      <c r="BX502" s="10"/>
      <c r="BY502" s="9"/>
      <c r="BZ502" s="10"/>
      <c r="CA502" s="9"/>
      <c r="CB502" s="10"/>
      <c r="CC502" s="9"/>
      <c r="CD502" s="10"/>
      <c r="CE502" s="9"/>
      <c r="CF502" s="10"/>
      <c r="CG502" s="9"/>
      <c r="CH502" s="10"/>
      <c r="CI502" s="9"/>
      <c r="CJ502" s="10"/>
      <c r="CK502" s="9"/>
      <c r="CL502" s="10"/>
      <c r="CM502" s="9"/>
      <c r="CN502" s="10"/>
      <c r="CO502" s="9"/>
      <c r="CP502" s="10"/>
      <c r="CQ502" s="9"/>
      <c r="CR502" s="10"/>
      <c r="CS502" s="9"/>
      <c r="CT502" s="10"/>
      <c r="CU502" s="9"/>
      <c r="CV502" s="10"/>
      <c r="CW502" s="9"/>
      <c r="CX502" s="10"/>
      <c r="CY502" s="9"/>
      <c r="CZ502" s="10"/>
      <c r="DA502" s="9"/>
      <c r="DB502" s="10"/>
      <c r="DC502" s="9"/>
      <c r="DD502" s="10"/>
      <c r="DE502" s="9"/>
      <c r="DF502" s="10"/>
      <c r="DG502" s="9"/>
      <c r="DH502" s="10"/>
      <c r="DI502" s="9"/>
      <c r="DJ502" s="10"/>
      <c r="DK502" s="9"/>
      <c r="DL502" s="10"/>
      <c r="DM502" s="9"/>
      <c r="DN502" s="10"/>
      <c r="DO502" s="9"/>
      <c r="DP502" s="10"/>
      <c r="DQ502" s="9"/>
      <c r="DR502" s="10"/>
      <c r="DS502" s="9"/>
      <c r="DT502" s="10"/>
      <c r="DU502" s="9"/>
      <c r="DV502" s="10"/>
      <c r="DW502" s="9"/>
      <c r="DX502" s="10"/>
      <c r="DY502" s="9"/>
      <c r="DZ502" s="10"/>
      <c r="EA502" s="9"/>
      <c r="EB502" s="10"/>
      <c r="EC502" s="9"/>
      <c r="ED502" s="10"/>
      <c r="EE502" s="9"/>
      <c r="EF502" s="10"/>
      <c r="EG502" s="9"/>
      <c r="EH502" s="10"/>
      <c r="EI502" s="9"/>
      <c r="EJ502" s="10"/>
      <c r="EK502" s="9"/>
      <c r="EL502" s="10"/>
      <c r="EM502" s="9"/>
      <c r="EN502" s="10"/>
      <c r="EO502" s="9"/>
      <c r="EP502" s="10"/>
      <c r="EQ502" s="9"/>
      <c r="ER502" s="10"/>
      <c r="ES502" s="9"/>
      <c r="ET502" s="10"/>
      <c r="EU502" s="9"/>
      <c r="EV502" s="10"/>
      <c r="EW502" s="9"/>
      <c r="EX502" s="10"/>
      <c r="EY502" s="9"/>
      <c r="EZ502" s="10"/>
      <c r="FA502" s="9"/>
      <c r="FB502" s="10"/>
      <c r="FC502" s="9"/>
      <c r="FD502" s="10"/>
      <c r="FE502" s="9"/>
      <c r="FF502" s="10"/>
      <c r="FG502" s="9"/>
      <c r="FH502" s="10"/>
      <c r="FI502" s="9"/>
      <c r="FJ502" s="10"/>
      <c r="FK502" s="9"/>
      <c r="FL502" s="10"/>
      <c r="FM502" s="9"/>
      <c r="FN502" s="10"/>
      <c r="FO502" s="9"/>
      <c r="FP502" s="10"/>
      <c r="FQ502" s="9"/>
      <c r="FR502" s="10"/>
      <c r="FS502" s="9"/>
      <c r="FT502" s="10"/>
      <c r="FU502" s="9"/>
      <c r="FV502" s="10"/>
      <c r="FW502" s="9"/>
      <c r="FX502" s="10"/>
      <c r="FY502" s="9"/>
      <c r="FZ502" s="10"/>
      <c r="GA502" s="9"/>
      <c r="GB502" s="10"/>
      <c r="GC502" s="9"/>
      <c r="GD502" s="10"/>
      <c r="GE502" s="9"/>
      <c r="GF502" s="10"/>
      <c r="GG502" s="9"/>
      <c r="GH502" s="10"/>
      <c r="GI502" s="9"/>
      <c r="GJ502" s="10"/>
      <c r="GK502" s="9"/>
      <c r="GL502" s="10"/>
      <c r="GM502" s="9"/>
      <c r="GN502" s="10"/>
      <c r="GO502" s="9"/>
      <c r="GP502" s="10"/>
      <c r="GQ502" s="9"/>
      <c r="GR502" s="10"/>
      <c r="GS502" s="9"/>
      <c r="GT502" s="10"/>
      <c r="GU502" s="9"/>
      <c r="GV502" s="10"/>
      <c r="GW502" s="9"/>
      <c r="GX502" s="10"/>
      <c r="GY502" s="9"/>
      <c r="GZ502" s="10"/>
      <c r="HA502" s="9"/>
      <c r="HB502" s="10"/>
      <c r="HC502" s="9"/>
      <c r="HD502" s="10"/>
      <c r="HE502" s="9"/>
      <c r="HF502" s="10"/>
      <c r="HG502" s="9"/>
      <c r="HH502" s="10"/>
      <c r="HI502" s="9"/>
      <c r="HJ502" s="10"/>
      <c r="HK502" s="9"/>
      <c r="HL502" s="10"/>
      <c r="HM502" s="9"/>
      <c r="HN502" s="10"/>
      <c r="HO502" s="9"/>
      <c r="HP502" s="10"/>
      <c r="HQ502" s="9"/>
      <c r="HR502" s="10"/>
      <c r="HS502" s="9"/>
      <c r="HT502" s="10"/>
      <c r="HU502" s="9"/>
      <c r="HV502" s="10"/>
      <c r="HW502" s="9"/>
      <c r="HX502" s="10"/>
      <c r="HY502" s="9"/>
      <c r="HZ502" s="10"/>
      <c r="IA502" s="9"/>
      <c r="IB502" s="10"/>
      <c r="IC502" s="9"/>
      <c r="ID502" s="10"/>
      <c r="IE502" s="9"/>
      <c r="IF502" s="10"/>
      <c r="IG502" s="9"/>
      <c r="IH502" s="10"/>
      <c r="II502" s="9"/>
      <c r="IJ502" s="10"/>
      <c r="IK502" s="9"/>
      <c r="IL502" s="10"/>
      <c r="IM502" s="9"/>
      <c r="IN502" s="10"/>
      <c r="IO502" s="9"/>
      <c r="IP502" s="10"/>
      <c r="IQ502" s="9"/>
      <c r="IR502" s="10"/>
      <c r="IS502" s="9"/>
      <c r="IT502" s="10"/>
      <c r="IU502" s="9"/>
      <c r="IV502" s="10"/>
    </row>
    <row r="503" spans="1:256">
      <c r="B503" s="10" t="s">
        <v>2177</v>
      </c>
      <c r="C503" s="9"/>
      <c r="D503" s="10"/>
      <c r="E503" s="9"/>
      <c r="F503" s="10"/>
      <c r="G503" s="9"/>
      <c r="H503" s="10"/>
      <c r="I503" s="9"/>
      <c r="J503" s="10"/>
      <c r="K503" s="9"/>
      <c r="L503" s="10"/>
      <c r="M503" s="9"/>
      <c r="N503" s="10"/>
      <c r="O503" s="9"/>
      <c r="P503" s="10"/>
      <c r="Q503" s="9"/>
      <c r="R503" s="10"/>
      <c r="S503" s="9"/>
      <c r="T503" s="10"/>
      <c r="U503" s="9"/>
      <c r="V503" s="10"/>
      <c r="W503" s="9"/>
      <c r="X503" s="10"/>
      <c r="Y503" s="9"/>
      <c r="Z503" s="10"/>
      <c r="AA503" s="9"/>
      <c r="AB503" s="10"/>
      <c r="AC503" s="9"/>
      <c r="AD503" s="10"/>
      <c r="AE503" s="9"/>
      <c r="AF503" s="10"/>
      <c r="AG503" s="9"/>
      <c r="AH503" s="10"/>
      <c r="AI503" s="9"/>
      <c r="AJ503" s="10"/>
      <c r="AK503" s="9"/>
      <c r="AL503" s="10"/>
      <c r="AM503" s="9"/>
      <c r="AN503" s="10"/>
      <c r="AO503" s="9"/>
      <c r="AP503" s="10"/>
      <c r="AQ503" s="9"/>
      <c r="AR503" s="10"/>
      <c r="AS503" s="9"/>
      <c r="AT503" s="10"/>
      <c r="AU503" s="9"/>
      <c r="AV503" s="10"/>
      <c r="AW503" s="9"/>
      <c r="AX503" s="10"/>
      <c r="AY503" s="9"/>
      <c r="AZ503" s="10"/>
      <c r="BA503" s="9"/>
      <c r="BB503" s="10"/>
      <c r="BC503" s="9"/>
      <c r="BD503" s="10"/>
      <c r="BE503" s="9"/>
      <c r="BF503" s="10"/>
      <c r="BG503" s="9"/>
      <c r="BH503" s="10"/>
      <c r="BI503" s="9"/>
      <c r="BJ503" s="10"/>
      <c r="BK503" s="9"/>
      <c r="BL503" s="10"/>
      <c r="BM503" s="9"/>
      <c r="BN503" s="10"/>
      <c r="BO503" s="9"/>
      <c r="BP503" s="10"/>
      <c r="BQ503" s="9"/>
      <c r="BR503" s="10"/>
      <c r="BS503" s="9"/>
      <c r="BT503" s="10"/>
      <c r="BU503" s="9"/>
      <c r="BV503" s="10"/>
      <c r="BW503" s="9"/>
      <c r="BX503" s="10"/>
      <c r="BY503" s="9"/>
      <c r="BZ503" s="10"/>
      <c r="CA503" s="9"/>
      <c r="CB503" s="10"/>
      <c r="CC503" s="9"/>
      <c r="CD503" s="10"/>
      <c r="CE503" s="9"/>
      <c r="CF503" s="10"/>
      <c r="CG503" s="9"/>
      <c r="CH503" s="10"/>
      <c r="CI503" s="9"/>
      <c r="CJ503" s="10"/>
      <c r="CK503" s="9"/>
      <c r="CL503" s="10"/>
      <c r="CM503" s="9"/>
      <c r="CN503" s="10"/>
      <c r="CO503" s="9"/>
      <c r="CP503" s="10"/>
      <c r="CQ503" s="9"/>
      <c r="CR503" s="10"/>
      <c r="CS503" s="9"/>
      <c r="CT503" s="10"/>
      <c r="CU503" s="9"/>
      <c r="CV503" s="10"/>
      <c r="CW503" s="9"/>
      <c r="CX503" s="10"/>
      <c r="CY503" s="9"/>
      <c r="CZ503" s="10"/>
      <c r="DA503" s="9"/>
      <c r="DB503" s="10"/>
      <c r="DC503" s="9"/>
      <c r="DD503" s="10"/>
      <c r="DE503" s="9"/>
      <c r="DF503" s="10"/>
      <c r="DG503" s="9"/>
      <c r="DH503" s="10"/>
      <c r="DI503" s="9"/>
      <c r="DJ503" s="10"/>
      <c r="DK503" s="9"/>
      <c r="DL503" s="10"/>
      <c r="DM503" s="9"/>
      <c r="DN503" s="10"/>
      <c r="DO503" s="9"/>
      <c r="DP503" s="10"/>
      <c r="DQ503" s="9"/>
      <c r="DR503" s="10"/>
      <c r="DS503" s="9"/>
      <c r="DT503" s="10"/>
      <c r="DU503" s="9"/>
      <c r="DV503" s="10"/>
      <c r="DW503" s="9"/>
      <c r="DX503" s="10"/>
      <c r="DY503" s="9"/>
      <c r="DZ503" s="10"/>
      <c r="EA503" s="9"/>
      <c r="EB503" s="10"/>
      <c r="EC503" s="9"/>
      <c r="ED503" s="10"/>
      <c r="EE503" s="9"/>
      <c r="EF503" s="10"/>
      <c r="EG503" s="9"/>
      <c r="EH503" s="10"/>
      <c r="EI503" s="9"/>
      <c r="EJ503" s="10"/>
      <c r="EK503" s="9"/>
      <c r="EL503" s="10"/>
      <c r="EM503" s="9"/>
      <c r="EN503" s="10"/>
      <c r="EO503" s="9"/>
      <c r="EP503" s="10"/>
      <c r="EQ503" s="9"/>
      <c r="ER503" s="10"/>
      <c r="ES503" s="9"/>
      <c r="ET503" s="10"/>
      <c r="EU503" s="9"/>
      <c r="EV503" s="10"/>
      <c r="EW503" s="9"/>
      <c r="EX503" s="10"/>
      <c r="EY503" s="9"/>
      <c r="EZ503" s="10"/>
      <c r="FA503" s="9"/>
      <c r="FB503" s="10"/>
      <c r="FC503" s="9"/>
      <c r="FD503" s="10"/>
      <c r="FE503" s="9"/>
      <c r="FF503" s="10"/>
      <c r="FG503" s="9"/>
      <c r="FH503" s="10"/>
      <c r="FI503" s="9"/>
      <c r="FJ503" s="10"/>
      <c r="FK503" s="9"/>
      <c r="FL503" s="10"/>
      <c r="FM503" s="9"/>
      <c r="FN503" s="10"/>
      <c r="FO503" s="9"/>
      <c r="FP503" s="10"/>
      <c r="FQ503" s="9"/>
      <c r="FR503" s="10"/>
      <c r="FS503" s="9"/>
      <c r="FT503" s="10"/>
      <c r="FU503" s="9"/>
      <c r="FV503" s="10"/>
      <c r="FW503" s="9"/>
      <c r="FX503" s="10"/>
      <c r="FY503" s="9"/>
      <c r="FZ503" s="10"/>
      <c r="GA503" s="9"/>
      <c r="GB503" s="10"/>
      <c r="GC503" s="9"/>
      <c r="GD503" s="10"/>
      <c r="GE503" s="9"/>
      <c r="GF503" s="10"/>
      <c r="GG503" s="9"/>
      <c r="GH503" s="10"/>
      <c r="GI503" s="9"/>
      <c r="GJ503" s="10"/>
      <c r="GK503" s="9"/>
      <c r="GL503" s="10"/>
      <c r="GM503" s="9"/>
      <c r="GN503" s="10"/>
      <c r="GO503" s="9"/>
      <c r="GP503" s="10"/>
      <c r="GQ503" s="9"/>
      <c r="GR503" s="10"/>
      <c r="GS503" s="9"/>
      <c r="GT503" s="10"/>
      <c r="GU503" s="9"/>
      <c r="GV503" s="10"/>
      <c r="GW503" s="9"/>
      <c r="GX503" s="10"/>
      <c r="GY503" s="9"/>
      <c r="GZ503" s="10"/>
      <c r="HA503" s="9"/>
      <c r="HB503" s="10"/>
      <c r="HC503" s="9"/>
      <c r="HD503" s="10"/>
      <c r="HE503" s="9"/>
      <c r="HF503" s="10"/>
      <c r="HG503" s="9"/>
      <c r="HH503" s="10"/>
      <c r="HI503" s="9"/>
      <c r="HJ503" s="10"/>
      <c r="HK503" s="9"/>
      <c r="HL503" s="10"/>
      <c r="HM503" s="9"/>
      <c r="HN503" s="10"/>
      <c r="HO503" s="9"/>
      <c r="HP503" s="10"/>
      <c r="HQ503" s="9"/>
      <c r="HR503" s="10"/>
      <c r="HS503" s="9"/>
      <c r="HT503" s="10"/>
      <c r="HU503" s="9"/>
      <c r="HV503" s="10"/>
      <c r="HW503" s="9"/>
      <c r="HX503" s="10"/>
      <c r="HY503" s="9"/>
      <c r="HZ503" s="10"/>
      <c r="IA503" s="9"/>
      <c r="IB503" s="10"/>
      <c r="IC503" s="9"/>
      <c r="ID503" s="10"/>
      <c r="IE503" s="9"/>
      <c r="IF503" s="10"/>
      <c r="IG503" s="9"/>
      <c r="IH503" s="10"/>
      <c r="II503" s="9"/>
      <c r="IJ503" s="10"/>
      <c r="IK503" s="9"/>
      <c r="IL503" s="10"/>
      <c r="IM503" s="9"/>
      <c r="IN503" s="10"/>
      <c r="IO503" s="9"/>
      <c r="IP503" s="10"/>
      <c r="IQ503" s="9"/>
      <c r="IR503" s="10"/>
      <c r="IS503" s="9"/>
      <c r="IT503" s="10"/>
      <c r="IU503" s="9"/>
      <c r="IV503" s="10"/>
    </row>
    <row r="504" spans="1:256">
      <c r="A504" s="9" t="s">
        <v>2248</v>
      </c>
      <c r="B504" s="9" t="s">
        <v>2178</v>
      </c>
    </row>
    <row r="505" spans="1:256">
      <c r="A505" s="9" t="s">
        <v>2179</v>
      </c>
      <c r="B505" s="10" t="s">
        <v>2180</v>
      </c>
    </row>
    <row r="506" spans="1:256">
      <c r="B506" s="10" t="s">
        <v>2181</v>
      </c>
    </row>
    <row r="507" spans="1:256">
      <c r="B507" s="10"/>
    </row>
    <row r="508" spans="1:256">
      <c r="A508" s="9" t="s">
        <v>1671</v>
      </c>
    </row>
    <row r="509" spans="1:256">
      <c r="A509" s="9" t="s">
        <v>2247</v>
      </c>
      <c r="B509" s="9" t="s">
        <v>1670</v>
      </c>
    </row>
    <row r="510" spans="1:256">
      <c r="B510" s="9" t="s">
        <v>2211</v>
      </c>
      <c r="J510" s="10"/>
    </row>
    <row r="511" spans="1:256">
      <c r="A511" s="9" t="s">
        <v>2248</v>
      </c>
      <c r="B511" s="9" t="s">
        <v>161</v>
      </c>
    </row>
    <row r="513" spans="1:2">
      <c r="A513" s="9" t="s">
        <v>1580</v>
      </c>
      <c r="B513" s="9" t="s">
        <v>1581</v>
      </c>
    </row>
    <row r="514" spans="1:2">
      <c r="A514" s="9" t="s">
        <v>1584</v>
      </c>
      <c r="B514" s="9" t="s">
        <v>1585</v>
      </c>
    </row>
    <row r="515" spans="1:2">
      <c r="B515" s="9" t="s">
        <v>1583</v>
      </c>
    </row>
    <row r="516" spans="1:2">
      <c r="B516" s="9" t="s">
        <v>1427</v>
      </c>
    </row>
    <row r="517" spans="1:2">
      <c r="B517" s="9" t="s">
        <v>1716</v>
      </c>
    </row>
    <row r="518" spans="1:2">
      <c r="B518" s="9" t="s">
        <v>1717</v>
      </c>
    </row>
    <row r="519" spans="1:2">
      <c r="B519" s="9" t="s">
        <v>219</v>
      </c>
    </row>
    <row r="520" spans="1:2">
      <c r="B520" s="9" t="s">
        <v>220</v>
      </c>
    </row>
    <row r="521" spans="1:2">
      <c r="B521" s="9" t="s">
        <v>221</v>
      </c>
    </row>
    <row r="523" spans="1:2">
      <c r="A523" s="9" t="s">
        <v>726</v>
      </c>
    </row>
    <row r="524" spans="1:2">
      <c r="A524" s="9" t="s">
        <v>2247</v>
      </c>
      <c r="B524" s="10" t="s">
        <v>725</v>
      </c>
    </row>
    <row r="525" spans="1:2">
      <c r="B525" s="9" t="s">
        <v>937</v>
      </c>
    </row>
    <row r="526" spans="1:2">
      <c r="A526" s="9" t="s">
        <v>1566</v>
      </c>
      <c r="B526" s="9" t="s">
        <v>544</v>
      </c>
    </row>
    <row r="527" spans="1:2">
      <c r="A527" s="9" t="s">
        <v>2248</v>
      </c>
      <c r="B527" s="286" t="s">
        <v>1438</v>
      </c>
    </row>
    <row r="528" spans="1:2">
      <c r="B528" s="10" t="s">
        <v>282</v>
      </c>
    </row>
    <row r="529" spans="1:6">
      <c r="B529" s="10" t="s">
        <v>278</v>
      </c>
    </row>
    <row r="530" spans="1:6">
      <c r="B530" s="10" t="s">
        <v>1760</v>
      </c>
    </row>
    <row r="531" spans="1:6">
      <c r="B531" s="10" t="s">
        <v>1530</v>
      </c>
    </row>
    <row r="532" spans="1:6">
      <c r="B532" s="10" t="s">
        <v>545</v>
      </c>
    </row>
    <row r="533" spans="1:6">
      <c r="B533" s="48" t="s">
        <v>1430</v>
      </c>
    </row>
    <row r="534" spans="1:6">
      <c r="B534" s="126" t="s">
        <v>1429</v>
      </c>
    </row>
    <row r="535" spans="1:6">
      <c r="B535" s="10" t="s">
        <v>280</v>
      </c>
    </row>
    <row r="536" spans="1:6">
      <c r="B536" s="10" t="s">
        <v>548</v>
      </c>
    </row>
    <row r="537" spans="1:6">
      <c r="B537" s="10" t="s">
        <v>281</v>
      </c>
    </row>
    <row r="538" spans="1:6">
      <c r="B538" s="10" t="s">
        <v>1432</v>
      </c>
    </row>
    <row r="539" spans="1:6">
      <c r="B539" s="10" t="s">
        <v>1431</v>
      </c>
    </row>
    <row r="540" spans="1:6">
      <c r="B540" s="10" t="s">
        <v>1531</v>
      </c>
    </row>
    <row r="541" spans="1:6">
      <c r="A541" s="2"/>
      <c r="B541" s="10" t="s">
        <v>279</v>
      </c>
    </row>
    <row r="542" spans="1:6">
      <c r="A542" s="2"/>
      <c r="B542" s="10" t="s">
        <v>727</v>
      </c>
      <c r="F542" s="287"/>
    </row>
    <row r="543" spans="1:6">
      <c r="A543" s="2"/>
      <c r="B543" s="10" t="s">
        <v>546</v>
      </c>
    </row>
    <row r="544" spans="1:6">
      <c r="A544" s="2"/>
      <c r="B544" s="10" t="s">
        <v>1433</v>
      </c>
    </row>
    <row r="545" spans="1:2">
      <c r="A545" s="2"/>
      <c r="B545" s="10" t="s">
        <v>1302</v>
      </c>
    </row>
    <row r="546" spans="1:2">
      <c r="A546" s="2"/>
      <c r="B546" s="10" t="s">
        <v>1437</v>
      </c>
    </row>
    <row r="547" spans="1:2">
      <c r="A547" s="2"/>
      <c r="B547" s="10" t="s">
        <v>277</v>
      </c>
    </row>
    <row r="548" spans="1:2">
      <c r="A548" s="2"/>
      <c r="B548" s="10" t="s">
        <v>1434</v>
      </c>
    </row>
    <row r="549" spans="1:2">
      <c r="A549" s="2"/>
      <c r="B549" s="10" t="s">
        <v>1435</v>
      </c>
    </row>
    <row r="550" spans="1:2">
      <c r="A550" s="2"/>
      <c r="B550" s="10" t="s">
        <v>1436</v>
      </c>
    </row>
    <row r="551" spans="1:2">
      <c r="A551" s="2"/>
      <c r="B551" s="10" t="s">
        <v>1763</v>
      </c>
    </row>
    <row r="552" spans="1:2">
      <c r="A552" s="2"/>
      <c r="B552" s="10" t="s">
        <v>1528</v>
      </c>
    </row>
    <row r="553" spans="1:2">
      <c r="A553" s="2"/>
      <c r="B553" s="10" t="s">
        <v>1525</v>
      </c>
    </row>
    <row r="554" spans="1:2">
      <c r="A554" s="2"/>
      <c r="B554" s="10" t="s">
        <v>1529</v>
      </c>
    </row>
    <row r="555" spans="1:2">
      <c r="A555" s="2"/>
      <c r="B555" s="10" t="s">
        <v>1526</v>
      </c>
    </row>
    <row r="556" spans="1:2">
      <c r="A556" s="2"/>
      <c r="B556" s="10" t="s">
        <v>1527</v>
      </c>
    </row>
    <row r="557" spans="1:2">
      <c r="A557" s="2"/>
      <c r="B557" s="10" t="s">
        <v>1762</v>
      </c>
    </row>
    <row r="558" spans="1:2">
      <c r="A558" s="2"/>
      <c r="B558" s="10" t="s">
        <v>1421</v>
      </c>
    </row>
    <row r="559" spans="1:2">
      <c r="A559" s="2"/>
      <c r="B559" s="10" t="s">
        <v>1766</v>
      </c>
    </row>
    <row r="560" spans="1:2">
      <c r="A560" s="2"/>
      <c r="B560" s="10" t="s">
        <v>1761</v>
      </c>
    </row>
    <row r="561" spans="1:2">
      <c r="A561" s="2"/>
      <c r="B561" s="10" t="s">
        <v>1767</v>
      </c>
    </row>
    <row r="562" spans="1:2">
      <c r="A562" s="2"/>
      <c r="B562" s="10" t="s">
        <v>1765</v>
      </c>
    </row>
    <row r="563" spans="1:2">
      <c r="A563" s="2"/>
      <c r="B563" s="10" t="s">
        <v>1764</v>
      </c>
    </row>
    <row r="564" spans="1:2">
      <c r="A564" s="2"/>
      <c r="B564" s="10" t="s">
        <v>1768</v>
      </c>
    </row>
    <row r="565" spans="1:2">
      <c r="A565" s="2"/>
      <c r="B565" s="10" t="s">
        <v>547</v>
      </c>
    </row>
    <row r="566" spans="1:2">
      <c r="A566" s="2"/>
      <c r="B566" s="10" t="s">
        <v>159</v>
      </c>
    </row>
    <row r="567" spans="1:2">
      <c r="A567" s="2"/>
      <c r="B567" s="10" t="s">
        <v>1422</v>
      </c>
    </row>
    <row r="568" spans="1:2">
      <c r="A568" s="2"/>
      <c r="B568" s="10" t="s">
        <v>1423</v>
      </c>
    </row>
    <row r="569" spans="1:2">
      <c r="A569" s="2"/>
      <c r="B569" s="10" t="s">
        <v>1424</v>
      </c>
    </row>
    <row r="570" spans="1:2">
      <c r="A570" s="2"/>
      <c r="B570" s="10" t="s">
        <v>158</v>
      </c>
    </row>
    <row r="571" spans="1:2">
      <c r="A571" s="2"/>
      <c r="B571" s="10"/>
    </row>
    <row r="572" spans="1:2">
      <c r="A572" s="2"/>
      <c r="B572" s="10"/>
    </row>
    <row r="573" spans="1:2">
      <c r="A573" s="2"/>
      <c r="B573" s="286" t="s">
        <v>543</v>
      </c>
    </row>
    <row r="574" spans="1:2">
      <c r="B574" s="287" t="s">
        <v>549</v>
      </c>
    </row>
    <row r="576" spans="1:2">
      <c r="A576" s="9" t="s">
        <v>1031</v>
      </c>
    </row>
    <row r="577" spans="1:2">
      <c r="A577" s="9" t="s">
        <v>276</v>
      </c>
      <c r="B577" s="9" t="s">
        <v>963</v>
      </c>
    </row>
    <row r="578" spans="1:2">
      <c r="A578" s="9" t="s">
        <v>273</v>
      </c>
      <c r="B578" s="9" t="s">
        <v>963</v>
      </c>
    </row>
    <row r="579" spans="1:2">
      <c r="A579" s="9" t="s">
        <v>1343</v>
      </c>
      <c r="B579" s="9" t="s">
        <v>963</v>
      </c>
    </row>
    <row r="580" spans="1:2">
      <c r="A580" s="9" t="s">
        <v>1565</v>
      </c>
      <c r="B580" s="9" t="s">
        <v>963</v>
      </c>
    </row>
    <row r="581" spans="1:2">
      <c r="A581" s="9" t="s">
        <v>1900</v>
      </c>
      <c r="B581" s="9" t="s">
        <v>2246</v>
      </c>
    </row>
    <row r="582" spans="1:2">
      <c r="A582" s="9" t="s">
        <v>1664</v>
      </c>
      <c r="B582" s="9" t="s">
        <v>2246</v>
      </c>
    </row>
    <row r="583" spans="1:2">
      <c r="A583" s="9" t="s">
        <v>1918</v>
      </c>
      <c r="B583" s="9" t="s">
        <v>2246</v>
      </c>
    </row>
    <row r="584" spans="1:2">
      <c r="A584" s="9" t="s">
        <v>2230</v>
      </c>
      <c r="B584" s="9" t="s">
        <v>963</v>
      </c>
    </row>
    <row r="585" spans="1:2">
      <c r="A585" s="9" t="s">
        <v>807</v>
      </c>
      <c r="B585" s="9" t="s">
        <v>963</v>
      </c>
    </row>
    <row r="586" spans="1:2">
      <c r="A586" s="9" t="s">
        <v>805</v>
      </c>
      <c r="B586" s="9" t="s">
        <v>963</v>
      </c>
    </row>
    <row r="587" spans="1:2">
      <c r="A587" s="9" t="s">
        <v>2074</v>
      </c>
      <c r="B587" s="9" t="s">
        <v>963</v>
      </c>
    </row>
    <row r="588" spans="1:2">
      <c r="A588" s="9" t="s">
        <v>1853</v>
      </c>
      <c r="B588" s="10" t="s">
        <v>963</v>
      </c>
    </row>
    <row r="589" spans="1:2">
      <c r="A589" s="9" t="s">
        <v>1852</v>
      </c>
      <c r="B589" s="9" t="s">
        <v>2246</v>
      </c>
    </row>
    <row r="590" spans="1:2">
      <c r="A590" s="9" t="s">
        <v>1470</v>
      </c>
      <c r="B590" s="9" t="s">
        <v>2246</v>
      </c>
    </row>
    <row r="591" spans="1:2">
      <c r="A591" s="9" t="s">
        <v>820</v>
      </c>
      <c r="B591" s="9" t="s">
        <v>963</v>
      </c>
    </row>
    <row r="592" spans="1:2">
      <c r="A592" s="9" t="s">
        <v>931</v>
      </c>
      <c r="B592" s="9" t="s">
        <v>2246</v>
      </c>
    </row>
    <row r="593" spans="1:8">
      <c r="A593" s="9" t="s">
        <v>930</v>
      </c>
      <c r="B593" s="9" t="s">
        <v>963</v>
      </c>
    </row>
    <row r="594" spans="1:8">
      <c r="A594" s="9" t="s">
        <v>2245</v>
      </c>
      <c r="B594" s="9" t="s">
        <v>963</v>
      </c>
    </row>
    <row r="595" spans="1:8">
      <c r="A595" s="9" t="s">
        <v>2250</v>
      </c>
      <c r="B595" s="9" t="s">
        <v>2246</v>
      </c>
    </row>
    <row r="596" spans="1:8">
      <c r="A596" s="9" t="s">
        <v>2095</v>
      </c>
      <c r="B596" s="9" t="s">
        <v>963</v>
      </c>
    </row>
    <row r="597" spans="1:8">
      <c r="A597" s="9" t="s">
        <v>2096</v>
      </c>
      <c r="B597" s="9" t="s">
        <v>963</v>
      </c>
    </row>
    <row r="598" spans="1:8">
      <c r="A598" s="9" t="s">
        <v>2097</v>
      </c>
      <c r="B598" s="9" t="s">
        <v>963</v>
      </c>
    </row>
    <row r="599" spans="1:8">
      <c r="A599" s="9" t="s">
        <v>2098</v>
      </c>
      <c r="B599" s="9" t="s">
        <v>963</v>
      </c>
    </row>
    <row r="600" spans="1:8">
      <c r="A600" s="9" t="s">
        <v>2099</v>
      </c>
      <c r="B600" s="9" t="s">
        <v>963</v>
      </c>
      <c r="G600" s="10"/>
    </row>
    <row r="601" spans="1:8">
      <c r="A601" s="9" t="s">
        <v>2101</v>
      </c>
      <c r="B601" s="9" t="s">
        <v>2100</v>
      </c>
      <c r="G601" s="10"/>
    </row>
    <row r="602" spans="1:8">
      <c r="A602" s="9" t="s">
        <v>2102</v>
      </c>
      <c r="B602" s="9" t="s">
        <v>2246</v>
      </c>
      <c r="H602" s="2"/>
    </row>
    <row r="603" spans="1:8">
      <c r="A603" s="9" t="s">
        <v>2103</v>
      </c>
      <c r="B603" s="9" t="s">
        <v>2246</v>
      </c>
      <c r="H603" s="2"/>
    </row>
    <row r="604" spans="1:8">
      <c r="A604" s="9" t="s">
        <v>2105</v>
      </c>
      <c r="B604" s="9" t="s">
        <v>2104</v>
      </c>
      <c r="H604" s="2"/>
    </row>
    <row r="605" spans="1:8">
      <c r="A605" s="9" t="s">
        <v>2106</v>
      </c>
      <c r="B605" s="9" t="s">
        <v>963</v>
      </c>
      <c r="H605" s="2"/>
    </row>
    <row r="606" spans="1:8">
      <c r="A606" s="9" t="s">
        <v>2107</v>
      </c>
      <c r="B606" s="9" t="s">
        <v>2246</v>
      </c>
      <c r="H606" s="2"/>
    </row>
    <row r="607" spans="1:8">
      <c r="A607" s="9" t="s">
        <v>2108</v>
      </c>
      <c r="B607" s="9" t="s">
        <v>963</v>
      </c>
    </row>
    <row r="608" spans="1:8">
      <c r="A608" s="9" t="s">
        <v>2109</v>
      </c>
      <c r="B608" s="9" t="s">
        <v>2246</v>
      </c>
      <c r="H608" s="2"/>
    </row>
    <row r="609" spans="1:8">
      <c r="A609" s="9" t="s">
        <v>2110</v>
      </c>
      <c r="B609" s="9" t="s">
        <v>963</v>
      </c>
      <c r="H609" s="2"/>
    </row>
    <row r="610" spans="1:8">
      <c r="A610" s="9" t="s">
        <v>2111</v>
      </c>
      <c r="B610" s="9" t="s">
        <v>963</v>
      </c>
    </row>
    <row r="611" spans="1:8">
      <c r="A611" s="9" t="s">
        <v>2113</v>
      </c>
      <c r="B611" s="9" t="s">
        <v>2112</v>
      </c>
      <c r="H611" s="2"/>
    </row>
    <row r="612" spans="1:8">
      <c r="A612" s="9" t="s">
        <v>2114</v>
      </c>
      <c r="B612" s="9" t="s">
        <v>2246</v>
      </c>
      <c r="G612" s="8"/>
      <c r="H612" s="2"/>
    </row>
    <row r="613" spans="1:8">
      <c r="A613" s="9" t="s">
        <v>2115</v>
      </c>
      <c r="B613" s="9" t="s">
        <v>2112</v>
      </c>
      <c r="H613" s="2"/>
    </row>
    <row r="614" spans="1:8">
      <c r="A614" s="9" t="s">
        <v>2116</v>
      </c>
      <c r="B614" s="9" t="s">
        <v>2246</v>
      </c>
      <c r="H614" s="2"/>
    </row>
    <row r="615" spans="1:8">
      <c r="A615" s="9" t="s">
        <v>2117</v>
      </c>
      <c r="B615" s="9" t="s">
        <v>2246</v>
      </c>
      <c r="H615" s="2"/>
    </row>
    <row r="616" spans="1:8">
      <c r="A616" s="9" t="s">
        <v>2118</v>
      </c>
      <c r="B616" s="9" t="s">
        <v>2112</v>
      </c>
    </row>
    <row r="617" spans="1:8">
      <c r="A617" s="9" t="s">
        <v>2119</v>
      </c>
      <c r="B617" s="9" t="s">
        <v>2246</v>
      </c>
      <c r="H617" s="2"/>
    </row>
    <row r="618" spans="1:8">
      <c r="A618" s="9" t="s">
        <v>2120</v>
      </c>
      <c r="B618" s="9" t="s">
        <v>2112</v>
      </c>
      <c r="H618" s="2"/>
    </row>
    <row r="619" spans="1:8">
      <c r="A619" s="9" t="s">
        <v>2121</v>
      </c>
      <c r="B619" s="9" t="s">
        <v>2246</v>
      </c>
      <c r="H619" s="2"/>
    </row>
    <row r="620" spans="1:8">
      <c r="A620" s="9" t="s">
        <v>2122</v>
      </c>
      <c r="B620" s="9" t="s">
        <v>2246</v>
      </c>
      <c r="H620" s="2"/>
    </row>
    <row r="621" spans="1:8">
      <c r="A621" s="9" t="s">
        <v>2123</v>
      </c>
      <c r="B621" s="9" t="s">
        <v>2246</v>
      </c>
      <c r="H621" s="2"/>
    </row>
    <row r="622" spans="1:8">
      <c r="A622" s="9" t="s">
        <v>2124</v>
      </c>
      <c r="B622" s="9" t="s">
        <v>2246</v>
      </c>
      <c r="H622" s="2"/>
    </row>
    <row r="623" spans="1:8">
      <c r="A623" s="9" t="s">
        <v>2126</v>
      </c>
      <c r="B623" s="9" t="s">
        <v>2125</v>
      </c>
      <c r="H623" s="2"/>
    </row>
    <row r="624" spans="1:8">
      <c r="A624" s="9" t="s">
        <v>2127</v>
      </c>
      <c r="B624" s="9" t="s">
        <v>2246</v>
      </c>
      <c r="H624" s="2"/>
    </row>
    <row r="625" spans="1:8">
      <c r="A625" s="9" t="s">
        <v>2128</v>
      </c>
      <c r="B625" s="9" t="s">
        <v>2125</v>
      </c>
      <c r="H625" s="2"/>
    </row>
    <row r="626" spans="1:8">
      <c r="A626" s="9" t="s">
        <v>2129</v>
      </c>
      <c r="B626" s="9" t="s">
        <v>2246</v>
      </c>
      <c r="H626" s="2"/>
    </row>
    <row r="627" spans="1:8">
      <c r="A627" s="9" t="s">
        <v>2130</v>
      </c>
      <c r="B627" s="9" t="s">
        <v>2246</v>
      </c>
      <c r="H627" s="2"/>
    </row>
    <row r="628" spans="1:8">
      <c r="A628" s="9" t="s">
        <v>2131</v>
      </c>
      <c r="B628" s="9" t="s">
        <v>2246</v>
      </c>
      <c r="H628" s="2"/>
    </row>
    <row r="629" spans="1:8">
      <c r="A629" s="9" t="s">
        <v>2132</v>
      </c>
      <c r="B629" s="9" t="s">
        <v>2125</v>
      </c>
      <c r="H629" s="2"/>
    </row>
    <row r="630" spans="1:8">
      <c r="A630" s="9" t="s">
        <v>2133</v>
      </c>
      <c r="B630" s="9" t="s">
        <v>2246</v>
      </c>
      <c r="H630" s="2"/>
    </row>
    <row r="631" spans="1:8">
      <c r="A631" s="9" t="s">
        <v>2134</v>
      </c>
      <c r="B631" s="9" t="s">
        <v>2246</v>
      </c>
      <c r="H631" s="2"/>
    </row>
    <row r="632" spans="1:8">
      <c r="A632" s="9" t="s">
        <v>2135</v>
      </c>
      <c r="B632" s="2"/>
    </row>
    <row r="633" spans="1:8">
      <c r="A633" s="9" t="s">
        <v>2136</v>
      </c>
      <c r="B633" s="2"/>
      <c r="H633" s="2"/>
    </row>
    <row r="634" spans="1:8">
      <c r="B634" s="2"/>
      <c r="H634" s="2"/>
    </row>
    <row r="635" spans="1:8">
      <c r="H635" s="2"/>
    </row>
    <row r="636" spans="1:8">
      <c r="H636" s="2"/>
    </row>
    <row r="637" spans="1:8">
      <c r="G637" s="11"/>
      <c r="H637" s="2"/>
    </row>
    <row r="638" spans="1:8">
      <c r="G638" s="11"/>
      <c r="H638" s="2"/>
    </row>
    <row r="639" spans="1:8">
      <c r="G639" s="11"/>
      <c r="H639" s="2"/>
    </row>
    <row r="640" spans="1:8">
      <c r="H640" s="2"/>
    </row>
    <row r="641" spans="7:8">
      <c r="H641" s="2"/>
    </row>
    <row r="642" spans="7:8">
      <c r="H642" s="2"/>
    </row>
    <row r="643" spans="7:8">
      <c r="H643" s="2"/>
    </row>
    <row r="644" spans="7:8">
      <c r="H644" s="2"/>
    </row>
    <row r="645" spans="7:8">
      <c r="H645" s="2"/>
    </row>
    <row r="646" spans="7:8">
      <c r="H646" s="2"/>
    </row>
    <row r="648" spans="7:8">
      <c r="H648" s="2"/>
    </row>
    <row r="649" spans="7:8">
      <c r="H649" s="2"/>
    </row>
    <row r="650" spans="7:8">
      <c r="H650" s="2"/>
    </row>
    <row r="652" spans="7:8">
      <c r="H652" s="2"/>
    </row>
    <row r="653" spans="7:8">
      <c r="G653" s="12"/>
      <c r="H653" s="2"/>
    </row>
    <row r="654" spans="7:8">
      <c r="G654" s="288"/>
      <c r="H654" s="2"/>
    </row>
    <row r="655" spans="7:8">
      <c r="G655" s="288"/>
      <c r="H655" s="2"/>
    </row>
    <row r="656" spans="7:8">
      <c r="G656" s="288"/>
      <c r="H656" s="2"/>
    </row>
    <row r="657" spans="7:8">
      <c r="G657" s="288"/>
      <c r="H657" s="2"/>
    </row>
    <row r="658" spans="7:8">
      <c r="G658" s="288"/>
      <c r="H658" s="2"/>
    </row>
    <row r="659" spans="7:8">
      <c r="H659" s="2"/>
    </row>
    <row r="660" spans="7:8">
      <c r="H660" s="2"/>
    </row>
    <row r="661" spans="7:8">
      <c r="H661" s="2"/>
    </row>
    <row r="662" spans="7:8">
      <c r="G662" s="12"/>
      <c r="H662" s="2"/>
    </row>
    <row r="663" spans="7:8">
      <c r="G663" s="12"/>
      <c r="H663" s="2"/>
    </row>
    <row r="664" spans="7:8">
      <c r="H664" s="2"/>
    </row>
    <row r="667" spans="7:8">
      <c r="G667" s="12"/>
    </row>
    <row r="676" spans="1:8">
      <c r="G676" s="9"/>
    </row>
    <row r="677" spans="1:8">
      <c r="G677" s="9"/>
    </row>
    <row r="678" spans="1:8">
      <c r="G678" s="9"/>
    </row>
    <row r="679" spans="1:8">
      <c r="B679" s="8"/>
      <c r="G679" s="9"/>
    </row>
    <row r="680" spans="1:8">
      <c r="A680" s="2"/>
      <c r="H680" s="2"/>
    </row>
    <row r="681" spans="1:8">
      <c r="A681" s="2"/>
      <c r="B681" s="13"/>
      <c r="H681" s="2"/>
    </row>
    <row r="682" spans="1:8">
      <c r="H682" s="2"/>
    </row>
    <row r="683" spans="1:8">
      <c r="B683" s="8"/>
      <c r="H683" s="2"/>
    </row>
    <row r="684" spans="1:8">
      <c r="H684" s="2"/>
    </row>
    <row r="685" spans="1:8">
      <c r="B685" s="8"/>
    </row>
    <row r="686" spans="1:8">
      <c r="H686" s="2"/>
    </row>
    <row r="687" spans="1:8">
      <c r="H687" s="2"/>
    </row>
    <row r="688" spans="1:8">
      <c r="H688" s="2"/>
    </row>
    <row r="689" spans="7:8">
      <c r="H689" s="2"/>
    </row>
    <row r="690" spans="7:8">
      <c r="H690" s="2"/>
    </row>
    <row r="691" spans="7:8">
      <c r="H691" s="2"/>
    </row>
    <row r="692" spans="7:8">
      <c r="H692" s="2"/>
    </row>
    <row r="693" spans="7:8">
      <c r="H693" s="2"/>
    </row>
    <row r="695" spans="7:8">
      <c r="H695" s="2"/>
    </row>
    <row r="696" spans="7:8">
      <c r="H696" s="2"/>
    </row>
    <row r="697" spans="7:8">
      <c r="H697" s="2"/>
    </row>
    <row r="698" spans="7:8">
      <c r="G698" s="9"/>
      <c r="H698" s="2"/>
    </row>
    <row r="699" spans="7:8">
      <c r="H699" s="2"/>
    </row>
    <row r="700" spans="7:8">
      <c r="H700" s="2"/>
    </row>
    <row r="702" spans="7:8">
      <c r="H702" s="2"/>
    </row>
    <row r="703" spans="7:8">
      <c r="H703" s="2"/>
    </row>
    <row r="704" spans="7:8">
      <c r="H704" s="2"/>
    </row>
    <row r="706" spans="6:8">
      <c r="H706" s="2"/>
    </row>
    <row r="707" spans="6:8">
      <c r="F707" s="9"/>
      <c r="G707" s="9"/>
      <c r="H707" s="2"/>
    </row>
    <row r="708" spans="6:8">
      <c r="F708" s="9"/>
      <c r="H708" s="2"/>
    </row>
    <row r="709" spans="6:8">
      <c r="F709" s="9"/>
      <c r="G709" s="9"/>
      <c r="H709" s="2"/>
    </row>
    <row r="710" spans="6:8">
      <c r="H710" s="2"/>
    </row>
    <row r="711" spans="6:8">
      <c r="H711" s="2"/>
    </row>
    <row r="712" spans="6:8">
      <c r="H712" s="2"/>
    </row>
    <row r="714" spans="6:8">
      <c r="H714" s="2"/>
    </row>
    <row r="715" spans="6:8">
      <c r="H715" s="2"/>
    </row>
    <row r="716" spans="6:8">
      <c r="H716" s="2"/>
    </row>
    <row r="717" spans="6:8">
      <c r="H717" s="2"/>
    </row>
    <row r="718" spans="6:8">
      <c r="H718" s="2"/>
    </row>
    <row r="719" spans="6:8">
      <c r="H719" s="2"/>
    </row>
    <row r="720" spans="6:8">
      <c r="H720" s="2"/>
    </row>
    <row r="721" spans="5:8">
      <c r="H721" s="2"/>
    </row>
    <row r="723" spans="5:8">
      <c r="H723" s="2"/>
    </row>
    <row r="724" spans="5:8">
      <c r="H724" s="2"/>
    </row>
    <row r="725" spans="5:8">
      <c r="H725" s="2"/>
    </row>
    <row r="726" spans="5:8">
      <c r="H726" s="2"/>
    </row>
    <row r="728" spans="5:8">
      <c r="F728" s="8"/>
      <c r="H728" s="2"/>
    </row>
    <row r="729" spans="5:8">
      <c r="E729" s="286"/>
      <c r="F729" s="8"/>
      <c r="H729" s="2"/>
    </row>
    <row r="730" spans="5:8">
      <c r="F730" s="8"/>
      <c r="H730" s="2"/>
    </row>
    <row r="731" spans="5:8">
      <c r="F731" s="8"/>
      <c r="H731" s="2"/>
    </row>
    <row r="732" spans="5:8">
      <c r="E732" s="286"/>
      <c r="F732" s="8"/>
      <c r="H732" s="2"/>
    </row>
    <row r="733" spans="5:8">
      <c r="F733" s="8"/>
      <c r="H733" s="2"/>
    </row>
    <row r="734" spans="5:8">
      <c r="F734" s="8"/>
      <c r="H734" s="2"/>
    </row>
    <row r="735" spans="5:8">
      <c r="F735" s="8"/>
      <c r="H735" s="2"/>
    </row>
    <row r="736" spans="5:8">
      <c r="F736" s="8"/>
      <c r="H736" s="2"/>
    </row>
    <row r="737" spans="1:8">
      <c r="F737" s="8"/>
      <c r="H737" s="2"/>
    </row>
    <row r="738" spans="1:8">
      <c r="F738" s="8"/>
      <c r="H738" s="2"/>
    </row>
    <row r="739" spans="1:8">
      <c r="F739" s="8"/>
      <c r="H739" s="2"/>
    </row>
    <row r="740" spans="1:8">
      <c r="A740" s="2"/>
      <c r="B740" s="2"/>
      <c r="F740" s="8"/>
      <c r="H740" s="2"/>
    </row>
    <row r="741" spans="1:8">
      <c r="A741" s="2"/>
      <c r="B741" s="2"/>
      <c r="F741" s="8"/>
      <c r="H741" s="2"/>
    </row>
    <row r="742" spans="1:8">
      <c r="A742" s="2"/>
      <c r="B742" s="2"/>
      <c r="F742" s="8"/>
      <c r="H742" s="2"/>
    </row>
    <row r="743" spans="1:8">
      <c r="A743" s="2"/>
      <c r="B743" s="2"/>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E752" s="8"/>
      <c r="F752" s="8"/>
      <c r="H752" s="2"/>
    </row>
    <row r="753" spans="1:8">
      <c r="A753" s="2"/>
      <c r="B753" s="2"/>
      <c r="E753" s="8"/>
      <c r="F753" s="8"/>
      <c r="H753" s="2"/>
    </row>
    <row r="754" spans="1:8">
      <c r="A754" s="2"/>
      <c r="B754" s="2"/>
      <c r="E754" s="8"/>
      <c r="F754" s="8"/>
      <c r="H754" s="2"/>
    </row>
    <row r="755" spans="1:8">
      <c r="A755" s="2"/>
      <c r="B755" s="2"/>
      <c r="C755" s="8"/>
      <c r="E755" s="8"/>
      <c r="F755" s="8"/>
      <c r="H755" s="2"/>
    </row>
    <row r="756" spans="1:8">
      <c r="A756" s="2"/>
      <c r="B756" s="2"/>
      <c r="C756" s="8"/>
      <c r="E756" s="8"/>
      <c r="F756" s="8"/>
      <c r="H756" s="2"/>
    </row>
    <row r="757" spans="1:8">
      <c r="A757" s="2"/>
      <c r="B757" s="2"/>
      <c r="C757" s="8"/>
      <c r="E757" s="8"/>
      <c r="F757" s="8"/>
      <c r="H757" s="2"/>
    </row>
    <row r="758" spans="1:8">
      <c r="A758" s="2"/>
      <c r="B758" s="2"/>
      <c r="C758" s="8"/>
      <c r="D758" s="8"/>
      <c r="E758" s="8"/>
      <c r="F758" s="8"/>
      <c r="H758" s="2"/>
    </row>
    <row r="759" spans="1:8">
      <c r="A759" s="2"/>
      <c r="B759" s="2"/>
      <c r="C759" s="8"/>
      <c r="E759" s="8"/>
      <c r="F759" s="14"/>
      <c r="H759" s="2"/>
    </row>
    <row r="760" spans="1:8">
      <c r="A760" s="2"/>
      <c r="B760" s="2"/>
      <c r="C760" s="8"/>
      <c r="E760" s="8"/>
      <c r="F760" s="14"/>
      <c r="H760" s="2"/>
    </row>
    <row r="761" spans="1:8">
      <c r="A761" s="2"/>
      <c r="B761" s="2"/>
      <c r="C761" s="8"/>
      <c r="F761" s="14"/>
      <c r="H761" s="2"/>
    </row>
    <row r="762" spans="1:8">
      <c r="B762" s="2"/>
      <c r="C762" s="8"/>
      <c r="F762" s="8"/>
      <c r="H762" s="2"/>
    </row>
    <row r="763" spans="1:8">
      <c r="C763" s="8"/>
      <c r="F763" s="8"/>
      <c r="H763" s="2"/>
    </row>
    <row r="764" spans="1:8">
      <c r="F764" s="8"/>
      <c r="H764" s="2"/>
    </row>
    <row r="765" spans="1:8">
      <c r="F765" s="8"/>
      <c r="H765" s="2"/>
    </row>
    <row r="766" spans="1:8">
      <c r="F766" s="8"/>
      <c r="H766" s="2"/>
    </row>
    <row r="767" spans="1:8">
      <c r="F767" s="8"/>
      <c r="H767" s="2"/>
    </row>
    <row r="768" spans="1:8">
      <c r="F768" s="8"/>
      <c r="H768" s="2"/>
    </row>
    <row r="769" spans="4:8">
      <c r="F769" s="8"/>
      <c r="H769" s="2"/>
    </row>
    <row r="770" spans="4:8">
      <c r="D770" s="8"/>
      <c r="F770" s="8"/>
      <c r="H770" s="2"/>
    </row>
    <row r="771" spans="4:8">
      <c r="D771" s="8"/>
      <c r="F771" s="8"/>
      <c r="H771" s="2"/>
    </row>
    <row r="772" spans="4:8">
      <c r="D772" s="8"/>
      <c r="F772" s="8"/>
      <c r="H772" s="2"/>
    </row>
    <row r="773" spans="4:8">
      <c r="D773" s="8"/>
      <c r="F773" s="8"/>
      <c r="H773"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397" t="s">
        <v>3084</v>
      </c>
      <c r="B1" s="1401"/>
      <c r="C1" s="1402"/>
      <c r="D1" s="1139" t="s">
        <v>271</v>
      </c>
      <c r="E1" s="1407" t="s">
        <v>2138</v>
      </c>
      <c r="F1" s="1408"/>
      <c r="G1" s="1408"/>
      <c r="H1" s="1408"/>
      <c r="I1" s="1408"/>
      <c r="J1" s="1408"/>
      <c r="K1" s="1409"/>
      <c r="L1" s="1400">
        <f>E143/20/100</f>
        <v>0.39383314060168295</v>
      </c>
      <c r="M1" s="1400"/>
      <c r="N1" s="105" t="s">
        <v>1215</v>
      </c>
      <c r="O1" s="18"/>
      <c r="P1" s="491"/>
      <c r="Q1" s="491"/>
      <c r="R1" s="491"/>
      <c r="S1" s="492"/>
      <c r="T1" s="1119"/>
      <c r="U1" s="1120" t="s">
        <v>3045</v>
      </c>
      <c r="V1" s="1121"/>
      <c r="W1" s="1121"/>
      <c r="X1" s="1122"/>
      <c r="Y1" s="1123"/>
      <c r="Z1" s="27"/>
      <c r="AD1" s="1340"/>
      <c r="AE1" s="1340"/>
      <c r="AF1" s="1340"/>
    </row>
    <row r="2" spans="1:32" ht="13.5" thickBot="1">
      <c r="A2" s="1398"/>
      <c r="B2" s="1110" t="s">
        <v>1138</v>
      </c>
      <c r="C2" s="1111">
        <f>SUM('Damage Calc'!J2:J7)</f>
        <v>1002.017991686008</v>
      </c>
      <c r="D2" s="1112">
        <f>C2/$C$6</f>
        <v>0.64430892978265919</v>
      </c>
      <c r="E2" s="1403" t="str">
        <f>cycle</f>
        <v>Cycle: 1s/5r   SnD Slack: 1.24</v>
      </c>
      <c r="F2" s="1404"/>
      <c r="G2" s="1404"/>
      <c r="H2" s="1404"/>
      <c r="I2" s="1404"/>
      <c r="J2" s="1404"/>
      <c r="K2" s="1405"/>
      <c r="L2" s="1400">
        <f>(K143/dorate)/100</f>
        <v>0</v>
      </c>
      <c r="M2" s="1400"/>
      <c r="N2" s="105" t="s">
        <v>264</v>
      </c>
      <c r="O2" s="484"/>
      <c r="P2" s="491"/>
      <c r="Q2" s="491"/>
      <c r="R2" s="491"/>
      <c r="S2" s="492"/>
      <c r="T2" s="590" t="s">
        <v>3155</v>
      </c>
      <c r="U2" s="591"/>
      <c r="V2" s="591"/>
      <c r="W2" s="592"/>
      <c r="X2" s="1124"/>
      <c r="Y2" s="1126"/>
      <c r="Z2" s="27"/>
      <c r="AD2" s="1340"/>
      <c r="AE2" s="1340"/>
      <c r="AF2" s="1340"/>
    </row>
    <row r="3" spans="1:32">
      <c r="A3" s="643"/>
      <c r="B3" s="1113" t="str">
        <f>instatklng&amp;" DPS"</f>
        <v>Sinister Strike DPS</v>
      </c>
      <c r="C3" s="1114">
        <f>'Damage Calc'!J8</f>
        <v>327.58159382962725</v>
      </c>
      <c r="D3" s="1115">
        <f>C3/$C$6</f>
        <v>0.21063867903382291</v>
      </c>
      <c r="E3" s="1410" t="s">
        <v>2137</v>
      </c>
      <c r="F3" s="1411"/>
      <c r="G3" s="1412" t="s">
        <v>771</v>
      </c>
      <c r="H3" s="1412"/>
      <c r="I3" s="1411" t="s">
        <v>768</v>
      </c>
      <c r="J3" s="1411"/>
      <c r="K3" s="1135" t="s">
        <v>770</v>
      </c>
      <c r="L3" s="1400">
        <f>(ROUNDDOWN(M143/defrating_def,0)*0.04)/100</f>
        <v>0</v>
      </c>
      <c r="M3" s="1400"/>
      <c r="N3" s="105" t="s">
        <v>1287</v>
      </c>
      <c r="O3" s="484"/>
      <c r="P3" s="18"/>
      <c r="Q3" s="18"/>
      <c r="R3" s="485"/>
      <c r="S3" s="486"/>
      <c r="T3" s="1130"/>
      <c r="U3" s="1125"/>
      <c r="V3" s="1125"/>
      <c r="W3" s="1125"/>
      <c r="X3" s="1125" t="s">
        <v>3075</v>
      </c>
      <c r="Y3" s="1127"/>
      <c r="Z3" s="1315"/>
      <c r="AD3" s="1340"/>
      <c r="AE3" s="1340"/>
      <c r="AF3" s="1340"/>
    </row>
    <row r="4" spans="1:32">
      <c r="A4" s="643"/>
      <c r="B4" s="1116" t="s">
        <v>2142</v>
      </c>
      <c r="C4" s="1117">
        <f>'Damage Calc'!J10+'Damage Calc'!J11+'Damage Calc'!J12</f>
        <v>119.18260098388045</v>
      </c>
      <c r="D4" s="1118">
        <f>C4/$C$6</f>
        <v>7.6635763754530198E-2</v>
      </c>
      <c r="E4" s="1413">
        <f>3524+INT(F143)*10</f>
        <v>9674</v>
      </c>
      <c r="F4" s="1414"/>
      <c r="G4" s="1431">
        <f>(1+'Gear &amp; Buffs'!$P$143/(hasterate*100))</f>
        <v>1.0808524183153847</v>
      </c>
      <c r="H4" s="1431"/>
      <c r="I4" s="1406">
        <f>ap</f>
        <v>3165.5289383329646</v>
      </c>
      <c r="J4" s="1406"/>
      <c r="K4" s="1136">
        <f>'Damage Calc'!$Q$42</f>
        <v>4010</v>
      </c>
      <c r="L4" s="1399">
        <f>-0.59/100</f>
        <v>-5.8999999999999999E-3</v>
      </c>
      <c r="M4" s="1399"/>
      <c r="N4" s="105" t="s">
        <v>393</v>
      </c>
      <c r="O4" s="484"/>
      <c r="P4" s="45"/>
      <c r="Q4" s="158"/>
      <c r="R4" s="45"/>
      <c r="S4" s="45"/>
      <c r="T4" s="1130"/>
      <c r="U4" s="1125"/>
      <c r="V4" s="1125"/>
      <c r="W4" s="1125"/>
      <c r="X4" s="1125" t="s">
        <v>1898</v>
      </c>
      <c r="Y4" s="1127" t="b">
        <v>1</v>
      </c>
      <c r="Z4" s="1315"/>
      <c r="AD4" s="1340"/>
      <c r="AE4" s="1340"/>
      <c r="AF4" s="1340"/>
    </row>
    <row r="5" spans="1:32" ht="13.5" thickBot="1">
      <c r="A5" s="643"/>
      <c r="B5" s="1113" t="s">
        <v>2143</v>
      </c>
      <c r="C5" s="1114">
        <f>'Damage Calc'!J13+'Damage Calc'!J14+'Damage Calc'!J15+'Damage Calc'!J9</f>
        <v>106.40034375660329</v>
      </c>
      <c r="D5" s="1115">
        <f>C5/$C$6</f>
        <v>6.84166274289877E-2</v>
      </c>
      <c r="E5" s="1419" t="s">
        <v>2140</v>
      </c>
      <c r="F5" s="1420"/>
      <c r="G5" s="1421" t="s">
        <v>2139</v>
      </c>
      <c r="H5" s="1421"/>
      <c r="I5" s="1420" t="s">
        <v>2141</v>
      </c>
      <c r="J5" s="1420"/>
      <c r="K5" s="1137" t="s">
        <v>2144</v>
      </c>
      <c r="L5" s="1399">
        <f>((CharLevel-BossLevel)*(0.2))/100</f>
        <v>-6.000000000000001E-3</v>
      </c>
      <c r="M5" s="1399"/>
      <c r="N5" s="483" t="s">
        <v>394</v>
      </c>
      <c r="O5" s="484"/>
      <c r="P5" s="18"/>
      <c r="Q5" s="485"/>
      <c r="R5" s="485"/>
      <c r="S5" s="487"/>
      <c r="T5" s="1130"/>
      <c r="U5" s="1125"/>
      <c r="V5" s="1125"/>
      <c r="W5" s="1125"/>
      <c r="X5" s="1125" t="s">
        <v>1915</v>
      </c>
      <c r="Y5" s="1127" t="b">
        <v>1</v>
      </c>
      <c r="Z5" s="1315"/>
      <c r="AD5" s="1340"/>
      <c r="AE5" s="1340"/>
      <c r="AF5" s="1340"/>
    </row>
    <row r="6" spans="1:32" ht="13.5" thickBot="1">
      <c r="A6" s="643"/>
      <c r="B6" s="1132" t="s">
        <v>2145</v>
      </c>
      <c r="C6" s="1133">
        <f>'Damage Calc'!J16</f>
        <v>1555.182530256119</v>
      </c>
      <c r="D6" s="1134">
        <f>D2+D3+D4+D5</f>
        <v>1</v>
      </c>
      <c r="E6" s="1418">
        <f>((E143/agicrit+G143/crrate)/100)+bwrath+(CharLevel-BossLevel)*bosscrit*5-IF(BossLevel*5-CharLevel*5&gt;10, 1.8%, 0)</f>
        <v>0.22111169225206101</v>
      </c>
      <c r="F6" s="1415"/>
      <c r="G6" s="1415">
        <f>'Damage Calc'!Q2+-'Gear &amp; Buffs'!I6</f>
        <v>0.26956097560975611</v>
      </c>
      <c r="H6" s="1415"/>
      <c r="I6" s="1415">
        <f>'Damage Calc'!B19</f>
        <v>4.3902439024390283E-4</v>
      </c>
      <c r="J6" s="1415"/>
      <c r="K6" s="1138">
        <f>'Damage Calc'!B20</f>
        <v>2.0000000000000004E-2</v>
      </c>
      <c r="L6" s="1430">
        <f>MAX((-0.59+E143/20+(K143/dorate)+(ROUNDDOWN(M143/defrating_def,0)*0.04))/100+0.2%*(CharLevel-BossLevel),0%)</f>
        <v>0.38193314060168293</v>
      </c>
      <c r="M6" s="1399"/>
      <c r="N6" s="105" t="s">
        <v>2144</v>
      </c>
      <c r="O6" s="488"/>
      <c r="P6" s="158"/>
      <c r="Q6" s="158"/>
      <c r="R6" s="158"/>
      <c r="S6" s="45"/>
      <c r="T6" s="1130"/>
      <c r="U6" s="1125"/>
      <c r="V6" s="1125"/>
      <c r="W6" s="1125"/>
      <c r="X6" s="1125" t="s">
        <v>74</v>
      </c>
      <c r="Y6" s="1127" t="b">
        <v>1</v>
      </c>
      <c r="Z6" s="1315"/>
      <c r="AD6" s="1340"/>
      <c r="AE6" s="1340"/>
      <c r="AF6" s="1340"/>
    </row>
    <row r="7" spans="1:32" ht="13.5" thickBot="1">
      <c r="A7" s="644"/>
      <c r="B7" s="285">
        <v>2</v>
      </c>
      <c r="C7" s="107">
        <v>1555.182530256119</v>
      </c>
      <c r="D7" s="493">
        <f>C7*0.71</f>
        <v>1104.1795964818443</v>
      </c>
      <c r="E7" s="44" t="s">
        <v>1177</v>
      </c>
      <c r="L7" s="1435">
        <f>Talents!H8</f>
        <v>0.4699331406016829</v>
      </c>
      <c r="M7" s="1436"/>
      <c r="N7" s="105" t="s">
        <v>1176</v>
      </c>
      <c r="O7" s="62"/>
      <c r="P7" s="489"/>
      <c r="Q7" s="489"/>
      <c r="R7" s="489"/>
      <c r="S7" s="489"/>
      <c r="T7" s="1131"/>
      <c r="U7" s="1128"/>
      <c r="V7" s="1128"/>
      <c r="W7" s="1128"/>
      <c r="X7" s="1128" t="s">
        <v>75</v>
      </c>
      <c r="Y7" s="1129" t="b">
        <v>1</v>
      </c>
      <c r="Z7" s="1315"/>
      <c r="AD7" s="1340"/>
      <c r="AE7" s="1340"/>
      <c r="AF7" s="1340"/>
    </row>
    <row r="8" spans="1:32" ht="22.5" customHeight="1" thickBot="1">
      <c r="A8" s="645"/>
      <c r="B8" s="34" t="s">
        <v>3083</v>
      </c>
      <c r="C8" s="1313">
        <f>C6-C7</f>
        <v>0</v>
      </c>
      <c r="D8" s="1314">
        <f>C8/$C$6</f>
        <v>0</v>
      </c>
      <c r="M8" s="35"/>
      <c r="N8" s="635"/>
      <c r="O8" s="636"/>
      <c r="R8" s="205" t="s">
        <v>274</v>
      </c>
      <c r="Y8" s="282" t="b">
        <v>1</v>
      </c>
      <c r="AD8" s="1340"/>
      <c r="AE8" s="1340"/>
      <c r="AF8" s="1340"/>
    </row>
    <row r="9" spans="1:32" ht="13.5" thickBot="1">
      <c r="A9" s="646"/>
      <c r="B9" s="642" t="s">
        <v>1213</v>
      </c>
      <c r="C9" s="639" t="s">
        <v>666</v>
      </c>
      <c r="D9" s="637" t="s">
        <v>1214</v>
      </c>
      <c r="E9" s="637" t="s">
        <v>1215</v>
      </c>
      <c r="F9" s="637" t="s">
        <v>1216</v>
      </c>
      <c r="G9" s="638" t="s">
        <v>2140</v>
      </c>
      <c r="H9" s="638" t="s">
        <v>2139</v>
      </c>
      <c r="I9" s="637" t="s">
        <v>768</v>
      </c>
      <c r="J9" s="637" t="s">
        <v>1217</v>
      </c>
      <c r="K9" s="637" t="s">
        <v>2144</v>
      </c>
      <c r="L9" s="639" t="s">
        <v>1582</v>
      </c>
      <c r="M9" s="639" t="s">
        <v>2166</v>
      </c>
      <c r="N9" s="639"/>
      <c r="O9" s="639"/>
      <c r="P9" s="639" t="s">
        <v>771</v>
      </c>
      <c r="Q9" s="640" t="s">
        <v>770</v>
      </c>
      <c r="R9" s="639" t="s">
        <v>1220</v>
      </c>
      <c r="S9" s="639" t="s">
        <v>1221</v>
      </c>
      <c r="T9" s="639" t="s">
        <v>1222</v>
      </c>
      <c r="U9" s="639" t="s">
        <v>1223</v>
      </c>
      <c r="V9" s="639" t="s">
        <v>764</v>
      </c>
      <c r="W9" s="637" t="s">
        <v>1224</v>
      </c>
      <c r="X9" s="637" t="s">
        <v>1225</v>
      </c>
      <c r="Y9" s="641" t="s">
        <v>1226</v>
      </c>
      <c r="AD9" s="1340"/>
      <c r="AE9" s="1340"/>
      <c r="AF9" s="1340"/>
    </row>
    <row r="10" spans="1:32">
      <c r="A10" s="612" t="s">
        <v>3047</v>
      </c>
      <c r="B10" s="611" t="s">
        <v>1381</v>
      </c>
      <c r="C10" s="1154" t="str">
        <f>VLOOKUP($B10,MHWeaponStats,lookSource,FALSE)</f>
        <v>BoE</v>
      </c>
      <c r="D10" s="613">
        <f>VLOOKUP($B10,MHWeaponStats,lookStr,FALSE)</f>
        <v>0</v>
      </c>
      <c r="E10" s="613">
        <f>VLOOKUP($B10,MHWeaponStats,lookAgi,FALSE)</f>
        <v>0</v>
      </c>
      <c r="F10" s="613">
        <f>VLOOKUP($B10,MHWeaponStats,lookSta,FALSE)</f>
        <v>0</v>
      </c>
      <c r="G10" s="614">
        <f>VLOOKUP($B10,MHWeaponStats,lookCrit,FALSE)</f>
        <v>0</v>
      </c>
      <c r="H10" s="614">
        <f>VLOOKUP($B10,MHWeaponStats,lookHit,FALSE)</f>
        <v>0</v>
      </c>
      <c r="I10" s="613">
        <f>VLOOKUP($B10,MHWeaponStats,lookAP,FALSE)</f>
        <v>0</v>
      </c>
      <c r="J10" s="614">
        <f>VLOOKUP($B10,MHWeaponStats,lookRes,FALSE)</f>
        <v>0</v>
      </c>
      <c r="K10" s="614">
        <f>VLOOKUP($B10,MHWeaponStats,lookDod,FALSE)</f>
        <v>0</v>
      </c>
      <c r="L10" s="615">
        <f>VLOOKUP($B10,MHWeaponStats,lookExp,FALSE)</f>
        <v>0</v>
      </c>
      <c r="M10" s="615">
        <f>VLOOKUP($B10,MHWeaponStats,lookDef,FALSE)</f>
        <v>0</v>
      </c>
      <c r="N10" s="1154"/>
      <c r="O10" s="615"/>
      <c r="P10" s="615">
        <f>VLOOKUP($B10,MHWeaponStats,lookHaste,FALSE)</f>
        <v>0</v>
      </c>
      <c r="Q10" s="615">
        <f>VLOOKUP($B10,MHWeaponStats,lookArmor,FALSE)</f>
        <v>0</v>
      </c>
      <c r="R10" s="615" t="str">
        <f>VLOOKUP($B10,MHWeaponStats,lookSoc,FALSE)</f>
        <v>0 0 0</v>
      </c>
      <c r="S10" s="615">
        <f>VLOOKUP($B10,MHWeaponStats,lookSet,FALSE)</f>
        <v>0</v>
      </c>
      <c r="T10" s="614">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4">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4">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3">
        <f>VLOOKUP($B10,MHWeaponStats,lookSpeed,FALSE)</f>
        <v>2.6</v>
      </c>
      <c r="X10" s="613" t="str">
        <f>VLOOKUP($B10,MHWeaponStats,lookType,FALSE)</f>
        <v>Sword</v>
      </c>
      <c r="Y10" s="616">
        <f>Weapons!AT45</f>
        <v>0</v>
      </c>
      <c r="AB10" s="1343"/>
      <c r="AC10" s="1343" t="b">
        <f>Sockfit!$O$3</f>
        <v>0</v>
      </c>
      <c r="AD10" s="1343" t="str">
        <f>Sockfit!$P$3</f>
        <v>0000</v>
      </c>
      <c r="AE10" s="122"/>
      <c r="AF10" s="1340"/>
    </row>
    <row r="11" spans="1:32">
      <c r="A11" s="189" t="s">
        <v>1228</v>
      </c>
      <c r="B11" s="609" t="s">
        <v>1229</v>
      </c>
      <c r="C11" s="1308"/>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5"/>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3"/>
      <c r="AC11" s="1343" t="b">
        <f>Sockfit!$O$7</f>
        <v>0</v>
      </c>
      <c r="AD11" s="1343" t="str">
        <f>Sockfit!$P$7</f>
        <v>0000</v>
      </c>
      <c r="AE11" s="122"/>
      <c r="AF11" s="1340"/>
    </row>
    <row r="12" spans="1:32">
      <c r="A12" s="189" t="s">
        <v>520</v>
      </c>
      <c r="B12" s="609" t="s">
        <v>521</v>
      </c>
      <c r="C12" s="1308"/>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5"/>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3"/>
      <c r="AC12" s="1343" t="b">
        <f>Sockfit!$O$43</f>
        <v>0</v>
      </c>
      <c r="AD12" s="1343" t="str">
        <f>Sockfit!$P$43</f>
        <v>0000</v>
      </c>
      <c r="AE12" s="122"/>
      <c r="AF12" s="1340"/>
    </row>
    <row r="13" spans="1:32">
      <c r="A13" s="604" t="str">
        <f>IF(AC10,"+"&amp;MID(AD10,4,2)&amp;" "&amp;MID(AD10,1,2),MID($R$10,1,1)&amp;" Red "&amp;MID($R$10,3,1)&amp;" Blue "&amp;MID($R$10,5,1)&amp;" Yellow")</f>
        <v>0 Red 0 Blue 0 Yellow</v>
      </c>
      <c r="B13" s="599" t="s">
        <v>303</v>
      </c>
      <c r="C13" s="1309" t="b">
        <f>MID($R$10,1,1)+MID($R$10,3,1)+MID(R$10,5,1)&gt;=1</f>
        <v>0</v>
      </c>
      <c r="D13" s="600">
        <f>IF($C13,VLOOKUP($B13,GenSocketStats,lookStr,FALSE),0)</f>
        <v>0</v>
      </c>
      <c r="E13" s="600">
        <f>IF($C13,VLOOKUP($B13,GenSocketStats,lookAgi,FALSE),0)</f>
        <v>0</v>
      </c>
      <c r="F13" s="600">
        <f>IF($C13,VLOOKUP($B13,GenSocketStats,lookSta,FALSE),0)</f>
        <v>0</v>
      </c>
      <c r="G13" s="601">
        <f>IF($C13,VLOOKUP($B13,GenSocketStats,lookCrit,FALSE),0)</f>
        <v>0</v>
      </c>
      <c r="H13" s="601">
        <f>IF($C13,VLOOKUP($B13,GenSocketStats,lookHit,FALSE),0)</f>
        <v>0</v>
      </c>
      <c r="I13" s="600">
        <f>IF($C13,VLOOKUP($B13,GenSocketStats,lookAP,FALSE),0)</f>
        <v>0</v>
      </c>
      <c r="J13" s="600">
        <f>IF($C13,VLOOKUP($B13,GenSocketStats,lookRes,FALSE),0)</f>
        <v>0</v>
      </c>
      <c r="K13" s="601">
        <f>IF($C13,VLOOKUP($B13,GenSocketStats,lookDod,FALSE),0)</f>
        <v>0</v>
      </c>
      <c r="L13" s="600">
        <f>IF($C13,VLOOKUP($B13,GenSocketStats,lookExp,FALSE),0)</f>
        <v>0</v>
      </c>
      <c r="M13" s="600"/>
      <c r="N13" s="605"/>
      <c r="O13" s="600"/>
      <c r="P13" s="600">
        <f>IF($C13,VLOOKUP($B13,GenSocketStats,lookHaste,FALSE),0)</f>
        <v>0</v>
      </c>
      <c r="Q13" s="600">
        <f>IF($C13,VLOOKUP($B13,GenSocketStats,lookArmor,FALSE),0)</f>
        <v>0</v>
      </c>
      <c r="R13" s="600">
        <f>IF($C13,VLOOKUP($B13,GenSocketStats,lookSoc,FALSE),0)</f>
        <v>0</v>
      </c>
      <c r="S13" s="602">
        <f>IF($C13,VLOOKUP($B13,GenSocketStats,lookSet,FALSE),0)</f>
        <v>0</v>
      </c>
      <c r="T13" s="602"/>
      <c r="U13" s="600"/>
      <c r="V13" s="601"/>
      <c r="W13" s="600"/>
      <c r="X13" s="600"/>
      <c r="Y13" s="603"/>
      <c r="Z13" s="36"/>
      <c r="AB13" s="1343"/>
      <c r="AC13" s="1343" t="b">
        <f>Sockfit!$O$11</f>
        <v>1</v>
      </c>
      <c r="AD13" s="1343" t="str">
        <f>Sockfit!$P$11</f>
        <v>ag 4</v>
      </c>
      <c r="AE13" s="122"/>
      <c r="AF13" s="1340"/>
    </row>
    <row r="14" spans="1:32">
      <c r="A14" s="189"/>
      <c r="B14" s="599" t="s">
        <v>303</v>
      </c>
      <c r="C14" s="1309" t="b">
        <f>MID($R$10,1,1)+MID($R$10,3,1)+MID(R$10,5,1)&gt;=2</f>
        <v>0</v>
      </c>
      <c r="D14" s="600">
        <f>IF($C14,VLOOKUP($B14,GenSocketStats,lookStr,FALSE),0)</f>
        <v>0</v>
      </c>
      <c r="E14" s="600">
        <f>IF($C14,VLOOKUP($B14,GenSocketStats,lookAgi,FALSE),0)</f>
        <v>0</v>
      </c>
      <c r="F14" s="600">
        <f>IF($C14,VLOOKUP($B14,GenSocketStats,lookSta,FALSE),0)</f>
        <v>0</v>
      </c>
      <c r="G14" s="601">
        <f>IF($C14,VLOOKUP($B14,GenSocketStats,lookCrit,FALSE),0)</f>
        <v>0</v>
      </c>
      <c r="H14" s="601">
        <f>IF($C14,VLOOKUP($B14,GenSocketStats,lookHit,FALSE),0)</f>
        <v>0</v>
      </c>
      <c r="I14" s="600">
        <f>IF($C14,VLOOKUP($B14,GenSocketStats,lookAP,FALSE),0)</f>
        <v>0</v>
      </c>
      <c r="J14" s="600">
        <f>IF($C14,VLOOKUP($B14,GenSocketStats,lookRes,FALSE),0)</f>
        <v>0</v>
      </c>
      <c r="K14" s="601">
        <f>IF($C14,VLOOKUP($B14,GenSocketStats,lookDod,FALSE),0)</f>
        <v>0</v>
      </c>
      <c r="L14" s="600">
        <f>IF($C14,VLOOKUP($B14,GenSocketStats,lookExp,FALSE),0)</f>
        <v>0</v>
      </c>
      <c r="M14" s="600"/>
      <c r="N14" s="605"/>
      <c r="O14" s="600"/>
      <c r="P14" s="600">
        <f>IF($C14,VLOOKUP($B14,GenSocketStats,lookHaste,FALSE),0)</f>
        <v>0</v>
      </c>
      <c r="Q14" s="600">
        <f>IF($C14,VLOOKUP($B14,GenSocketStats,lookArmor,FALSE),0)</f>
        <v>0</v>
      </c>
      <c r="R14" s="600">
        <f>IF($C14,VLOOKUP($B14,GenSocketStats,lookSoc,FALSE),0)</f>
        <v>0</v>
      </c>
      <c r="S14" s="602">
        <f>IF($C14,VLOOKUP($B14,GenSocketStats,lookSet,FALSE),0)</f>
        <v>0</v>
      </c>
      <c r="T14" s="602"/>
      <c r="U14" s="600"/>
      <c r="V14" s="601"/>
      <c r="W14" s="600"/>
      <c r="X14" s="600"/>
      <c r="Y14" s="603"/>
      <c r="Z14" s="36"/>
      <c r="AA14" s="37"/>
      <c r="AB14" s="1343"/>
      <c r="AC14" s="1343" t="b">
        <f>Sockfit!$O$16</f>
        <v>0</v>
      </c>
      <c r="AD14" s="1343" t="str">
        <f>Sockfit!$P$16</f>
        <v>0000</v>
      </c>
      <c r="AE14" s="122"/>
      <c r="AF14" s="1341"/>
    </row>
    <row r="15" spans="1:32">
      <c r="A15" s="189"/>
      <c r="B15" s="599" t="s">
        <v>303</v>
      </c>
      <c r="C15" s="1309" t="b">
        <f>MID($R$10,1,1)+MID($R$10,3,1)+MID(R$10,5,1)&gt;=3</f>
        <v>0</v>
      </c>
      <c r="D15" s="600">
        <f>IF($C15,VLOOKUP($B15,GenSocketStats,lookStr,FALSE),0)</f>
        <v>0</v>
      </c>
      <c r="E15" s="600">
        <f>IF($C15,VLOOKUP($B15,GenSocketStats,lookAgi,FALSE),0)</f>
        <v>0</v>
      </c>
      <c r="F15" s="600">
        <f>IF($C15,VLOOKUP($B15,GenSocketStats,lookSta,FALSE),0)</f>
        <v>0</v>
      </c>
      <c r="G15" s="601">
        <f>IF($C15,VLOOKUP($B15,GenSocketStats,lookCrit,FALSE),0)</f>
        <v>0</v>
      </c>
      <c r="H15" s="601">
        <f>IF($C15,VLOOKUP($B15,GenSocketStats,lookHit,FALSE),0)</f>
        <v>0</v>
      </c>
      <c r="I15" s="600">
        <f>IF($C15,VLOOKUP($B15,GenSocketStats,lookAP,FALSE),0)</f>
        <v>0</v>
      </c>
      <c r="J15" s="600">
        <f>IF($C15,VLOOKUP($B15,GenSocketStats,lookRes,FALSE),0)</f>
        <v>0</v>
      </c>
      <c r="K15" s="601">
        <f>IF($C15,VLOOKUP($B15,GenSocketStats,lookDod,FALSE),0)</f>
        <v>0</v>
      </c>
      <c r="L15" s="600">
        <f>IF($C15,VLOOKUP($B15,GenSocketStats,lookExp,FALSE),0)</f>
        <v>0</v>
      </c>
      <c r="M15" s="600"/>
      <c r="N15" s="605"/>
      <c r="O15" s="600"/>
      <c r="P15" s="600">
        <f>IF($C15,VLOOKUP($B15,GenSocketStats,lookHaste,FALSE),0)</f>
        <v>0</v>
      </c>
      <c r="Q15" s="600">
        <f>IF($C15,VLOOKUP($B15,GenSocketStats,lookArmor,FALSE),0)</f>
        <v>0</v>
      </c>
      <c r="R15" s="600">
        <f>IF($C15,VLOOKUP($B15,GenSocketStats,lookSoc,FALSE),0)</f>
        <v>0</v>
      </c>
      <c r="S15" s="602">
        <f>IF($C15,VLOOKUP($B15,GenSocketStats,lookSet,FALSE),0)</f>
        <v>0</v>
      </c>
      <c r="T15" s="602"/>
      <c r="U15" s="600"/>
      <c r="V15" s="601"/>
      <c r="W15" s="600"/>
      <c r="X15" s="600"/>
      <c r="Y15" s="603"/>
      <c r="Z15" s="36"/>
      <c r="AA15" s="37"/>
      <c r="AB15" s="1343"/>
      <c r="AC15" s="1343" t="b">
        <f>Sockfit!$O$20</f>
        <v>0</v>
      </c>
      <c r="AD15" s="1343" t="str">
        <f>Sockfit!$P$20</f>
        <v>0000</v>
      </c>
      <c r="AE15" s="122"/>
      <c r="AF15" s="1341"/>
    </row>
    <row r="16" spans="1:32">
      <c r="A16" s="612" t="s">
        <v>3048</v>
      </c>
      <c r="B16" s="611" t="s">
        <v>1392</v>
      </c>
      <c r="C16" s="1154" t="str">
        <f>VLOOKUP($B16,OHWeaponStats,lookSource,FALSE)</f>
        <v>5 Man</v>
      </c>
      <c r="D16" s="613">
        <f>VLOOKUP($B16,OHWeaponStats,lookStr,FALSE)</f>
        <v>0</v>
      </c>
      <c r="E16" s="613">
        <f>VLOOKUP($B16,OHWeaponStats,lookAgi,FALSE)</f>
        <v>15</v>
      </c>
      <c r="F16" s="613">
        <f>VLOOKUP($B16,OHWeaponStats,lookSta,FALSE)</f>
        <v>0</v>
      </c>
      <c r="G16" s="614">
        <f>VLOOKUP($B16,OHWeaponStats,lookCrit,FALSE)</f>
        <v>0</v>
      </c>
      <c r="H16" s="614">
        <f>VLOOKUP($B16,OHWeaponStats,lookHit,FALSE)</f>
        <v>0</v>
      </c>
      <c r="I16" s="613">
        <f>VLOOKUP($B16,OHWeaponStats,lookAP,FALSE)</f>
        <v>26</v>
      </c>
      <c r="J16" s="614">
        <f>VLOOKUP($B16,OHWeaponStats,lookRes,FALSE)</f>
        <v>0</v>
      </c>
      <c r="K16" s="614">
        <f>VLOOKUP($B16,OHWeaponStats,lookDod,FALSE)</f>
        <v>0</v>
      </c>
      <c r="L16" s="615">
        <f>VLOOKUP($B16,OHWeaponStats,lookExp,FALSE)</f>
        <v>14</v>
      </c>
      <c r="M16" s="615">
        <f>VLOOKUP($B16,OHWeaponStats,lookDef,FALSE)</f>
        <v>0</v>
      </c>
      <c r="N16" s="1154"/>
      <c r="O16" s="615"/>
      <c r="P16" s="615">
        <f>VLOOKUP($B16,OHWeaponStats,lookHaste,FALSE)</f>
        <v>0</v>
      </c>
      <c r="Q16" s="615">
        <f>VLOOKUP($B16,OHWeaponStats,lookArmor,FALSE)</f>
        <v>0</v>
      </c>
      <c r="R16" s="615" t="str">
        <f>VLOOKUP($B16,OHWeaponStats,lookSoc,FALSE)</f>
        <v>0 0 0</v>
      </c>
      <c r="S16" s="615" t="str">
        <f>VLOOKUP($B16,OHWeaponStats,lookSet,FALSE)</f>
        <v>Latro's</v>
      </c>
      <c r="T16" s="614">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4">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4">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3">
        <f>VLOOKUP($B16,OHWeaponStats,lookSpeed,FALSE)</f>
        <v>1.4</v>
      </c>
      <c r="X16" s="613" t="str">
        <f>VLOOKUP($B16,OHWeaponStats,lookType,FALSE)</f>
        <v>Sword</v>
      </c>
      <c r="Y16" s="616">
        <f>Weapons!AV45</f>
        <v>0</v>
      </c>
      <c r="Z16" s="36"/>
      <c r="AA16" s="31"/>
      <c r="AB16" s="1343"/>
      <c r="AC16" s="1343" t="b">
        <f>Sockfit!$O$22</f>
        <v>1</v>
      </c>
      <c r="AD16" s="1343" t="str">
        <f>Sockfit!$P$22</f>
        <v>ag 4</v>
      </c>
      <c r="AE16" s="122"/>
      <c r="AF16" s="1341"/>
    </row>
    <row r="17" spans="1:32">
      <c r="A17" s="189" t="s">
        <v>523</v>
      </c>
      <c r="B17" s="609" t="s">
        <v>1229</v>
      </c>
      <c r="C17" s="1308"/>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5"/>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3"/>
      <c r="AC17" s="1343" t="b">
        <f>Sockfit!$O$26</f>
        <v>0</v>
      </c>
      <c r="AD17" s="1343" t="str">
        <f>Sockfit!$P$26</f>
        <v>0000</v>
      </c>
      <c r="AE17" s="122"/>
      <c r="AF17" s="1340"/>
    </row>
    <row r="18" spans="1:32">
      <c r="A18" s="189" t="s">
        <v>2205</v>
      </c>
      <c r="B18" s="609" t="s">
        <v>2206</v>
      </c>
      <c r="C18" s="1308"/>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5"/>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3"/>
      <c r="AC18" s="1343" t="b">
        <f>Sockfit!$O$28</f>
        <v>0</v>
      </c>
      <c r="AD18" s="1343" t="str">
        <f>Sockfit!$P$28</f>
        <v>0000</v>
      </c>
      <c r="AE18" s="122"/>
      <c r="AF18" s="1340"/>
    </row>
    <row r="19" spans="1:32">
      <c r="A19" s="604" t="str">
        <f>IF(AC11,"+"&amp;MID(AD11,4,2)&amp;" "&amp;MID(AD11,1,2),MID($R$16,1,1)&amp;" Red "&amp;MID($R$16,3,1)&amp;" Blue "&amp;MID($R$16,5,1)&amp;" Yellow")</f>
        <v>0 Red 0 Blue 0 Yellow</v>
      </c>
      <c r="B19" s="599" t="s">
        <v>303</v>
      </c>
      <c r="C19" s="1309" t="b">
        <f>MID($R$16,1,1)+MID($R$16,3,1)+MID(R$16,5,1)&gt;=1</f>
        <v>0</v>
      </c>
      <c r="D19" s="600">
        <f>IF($C19,VLOOKUP($B19,GenSocketStats,lookStr,FALSE),0)</f>
        <v>0</v>
      </c>
      <c r="E19" s="600">
        <f>IF($C19,VLOOKUP($B19,GenSocketStats,lookAgi,FALSE),0)</f>
        <v>0</v>
      </c>
      <c r="F19" s="600">
        <f>IF($C19,VLOOKUP($B19,GenSocketStats,lookSta,FALSE),0)</f>
        <v>0</v>
      </c>
      <c r="G19" s="601">
        <f>IF($C19,VLOOKUP($B19,GenSocketStats,lookCrit,FALSE),0)</f>
        <v>0</v>
      </c>
      <c r="H19" s="601">
        <f>IF($C19,VLOOKUP($B19,GenSocketStats,lookHit,FALSE),0)</f>
        <v>0</v>
      </c>
      <c r="I19" s="600">
        <f>IF($C19,VLOOKUP($B19,GenSocketStats,lookAP,FALSE),0)</f>
        <v>0</v>
      </c>
      <c r="J19" s="600">
        <f>IF($C19,VLOOKUP($B19,GenSocketStats,lookRes,FALSE),0)</f>
        <v>0</v>
      </c>
      <c r="K19" s="601">
        <f>IF($C19,VLOOKUP($B19,GenSocketStats,lookDod,FALSE),0)</f>
        <v>0</v>
      </c>
      <c r="L19" s="600">
        <f>IF($C19,VLOOKUP($B19,GenSocketStats,lookExp,FALSE),0)</f>
        <v>0</v>
      </c>
      <c r="M19" s="600"/>
      <c r="N19" s="605"/>
      <c r="O19" s="600"/>
      <c r="P19" s="600">
        <f>IF($C19,VLOOKUP($B19,GenSocketStats,lookHaste,FALSE),0)</f>
        <v>0</v>
      </c>
      <c r="Q19" s="600">
        <f>IF($C19,VLOOKUP($B19,GenSocketStats,lookArmor,FALSE),0)</f>
        <v>0</v>
      </c>
      <c r="R19" s="600">
        <f>IF($C19,VLOOKUP($B19,GenSocketStats,lookSoc,FALSE),0)</f>
        <v>0</v>
      </c>
      <c r="S19" s="602">
        <f>IF($C19,VLOOKUP($B19,GenSocketStats,lookSet,FALSE),0)</f>
        <v>0</v>
      </c>
      <c r="T19" s="39"/>
      <c r="U19" s="40"/>
      <c r="V19" s="41"/>
      <c r="W19" s="40"/>
      <c r="X19" s="40"/>
      <c r="Y19" s="42"/>
      <c r="Z19" s="36"/>
      <c r="AA19" s="38"/>
      <c r="AB19" s="1343"/>
      <c r="AC19" s="1343" t="b">
        <f>Sockfit!$O$31</f>
        <v>0</v>
      </c>
      <c r="AD19" s="1343" t="str">
        <f>Sockfit!$P$31</f>
        <v>0000</v>
      </c>
      <c r="AE19" s="122"/>
      <c r="AF19" s="1340"/>
    </row>
    <row r="20" spans="1:32">
      <c r="A20" s="189"/>
      <c r="B20" s="599" t="s">
        <v>303</v>
      </c>
      <c r="C20" s="1309" t="b">
        <f>MID($R$16,1,1)+MID($R$16,3,1)+MID(R$16,5,1)&gt;=2</f>
        <v>0</v>
      </c>
      <c r="D20" s="600">
        <f>IF($C20,VLOOKUP($B20,GenSocketStats,lookStr,FALSE),0)</f>
        <v>0</v>
      </c>
      <c r="E20" s="600">
        <f>IF($C20,VLOOKUP($B20,GenSocketStats,lookAgi,FALSE),0)</f>
        <v>0</v>
      </c>
      <c r="F20" s="600">
        <f>IF($C20,VLOOKUP($B20,GenSocketStats,lookSta,FALSE),0)</f>
        <v>0</v>
      </c>
      <c r="G20" s="601">
        <f>IF($C20,VLOOKUP($B20,GenSocketStats,lookCrit,FALSE),0)</f>
        <v>0</v>
      </c>
      <c r="H20" s="601">
        <f>IF($C20,VLOOKUP($B20,GenSocketStats,lookHit,FALSE),0)</f>
        <v>0</v>
      </c>
      <c r="I20" s="600">
        <f>IF($C20,VLOOKUP($B20,GenSocketStats,lookAP,FALSE),0)</f>
        <v>0</v>
      </c>
      <c r="J20" s="600">
        <f>IF($C20,VLOOKUP($B20,GenSocketStats,lookRes,FALSE),0)</f>
        <v>0</v>
      </c>
      <c r="K20" s="601">
        <f>IF($C20,VLOOKUP($B20,GenSocketStats,lookDod,FALSE),0)</f>
        <v>0</v>
      </c>
      <c r="L20" s="600">
        <f>IF($C20,VLOOKUP($B20,GenSocketStats,lookExp,FALSE),0)</f>
        <v>0</v>
      </c>
      <c r="M20" s="600"/>
      <c r="N20" s="605"/>
      <c r="O20" s="600"/>
      <c r="P20" s="600">
        <f>IF($C20,VLOOKUP($B20,GenSocketStats,lookHaste,FALSE),0)</f>
        <v>0</v>
      </c>
      <c r="Q20" s="600">
        <f>IF($C20,VLOOKUP($B20,GenSocketStats,lookArmor,FALSE),0)</f>
        <v>0</v>
      </c>
      <c r="R20" s="600">
        <f>IF($C20,VLOOKUP($B20,GenSocketStats,lookSoc,FALSE),0)</f>
        <v>0</v>
      </c>
      <c r="S20" s="602">
        <f>IF($C20,VLOOKUP($B20,GenSocketStats,lookSet,FALSE),0)</f>
        <v>0</v>
      </c>
      <c r="AB20" s="1343"/>
      <c r="AC20" s="1343" t="b">
        <f>Sockfit!$O$34</f>
        <v>0</v>
      </c>
      <c r="AD20" s="1343" t="str">
        <f>Sockfit!$P$34</f>
        <v>0000</v>
      </c>
      <c r="AE20" s="122"/>
      <c r="AF20" s="1340"/>
    </row>
    <row r="21" spans="1:32" ht="13.5" thickBot="1">
      <c r="A21" s="189"/>
      <c r="B21" s="599" t="s">
        <v>303</v>
      </c>
      <c r="C21" s="1309" t="b">
        <f>MID($R$16,1,1)+MID($R$16,3,1)+MID(R$16,5,1)&gt;=3</f>
        <v>0</v>
      </c>
      <c r="D21" s="600">
        <f>IF($C21,VLOOKUP($B21,GenSocketStats,lookStr,FALSE),0)</f>
        <v>0</v>
      </c>
      <c r="E21" s="600">
        <f>IF($C21,VLOOKUP($B21,GenSocketStats,lookAgi,FALSE),0)</f>
        <v>0</v>
      </c>
      <c r="F21" s="600">
        <f>IF($C21,VLOOKUP($B21,GenSocketStats,lookSta,FALSE),0)</f>
        <v>0</v>
      </c>
      <c r="G21" s="601">
        <f>IF($C21,VLOOKUP($B21,GenSocketStats,lookCrit,FALSE),0)</f>
        <v>0</v>
      </c>
      <c r="H21" s="601">
        <f>IF($C21,VLOOKUP($B21,GenSocketStats,lookHit,FALSE),0)</f>
        <v>0</v>
      </c>
      <c r="I21" s="600">
        <f>IF($C21,VLOOKUP($B21,GenSocketStats,lookAP,FALSE),0)</f>
        <v>0</v>
      </c>
      <c r="J21" s="600">
        <f>IF($C21,VLOOKUP($B21,GenSocketStats,lookRes,FALSE),0)</f>
        <v>0</v>
      </c>
      <c r="K21" s="601">
        <f>IF($C21,VLOOKUP($B21,GenSocketStats,lookDod,FALSE),0)</f>
        <v>0</v>
      </c>
      <c r="L21" s="600">
        <f>IF($C21,VLOOKUP($B21,GenSocketStats,lookExp,FALSE),0)</f>
        <v>0</v>
      </c>
      <c r="M21" s="600"/>
      <c r="N21" s="605"/>
      <c r="O21" s="600"/>
      <c r="P21" s="600">
        <f>IF($C21,VLOOKUP($B21,GenSocketStats,lookHaste,FALSE),0)</f>
        <v>0</v>
      </c>
      <c r="Q21" s="600">
        <f>IF($C21,VLOOKUP($B21,GenSocketStats,lookArmor,FALSE),0)</f>
        <v>0</v>
      </c>
      <c r="R21" s="600">
        <f>IF($C21,VLOOKUP($B21,GenSocketStats,lookSoc,FALSE),0)</f>
        <v>0</v>
      </c>
      <c r="S21" s="602">
        <f>IF($C21,VLOOKUP($B21,GenSocketStats,lookSet,FALSE),0)</f>
        <v>0</v>
      </c>
      <c r="AB21" s="1343"/>
      <c r="AC21" s="1343" t="b">
        <f>Sockfit!$O$38</f>
        <v>1</v>
      </c>
      <c r="AD21" s="1343" t="str">
        <f>Sockfit!$P$38</f>
        <v>ht 3</v>
      </c>
      <c r="AE21" s="122"/>
      <c r="AF21" s="1340"/>
    </row>
    <row r="22" spans="1:32" ht="13.5" thickBot="1">
      <c r="A22" s="612" t="s">
        <v>2208</v>
      </c>
      <c r="B22" s="617" t="s">
        <v>1933</v>
      </c>
      <c r="C22" s="1154" t="str">
        <f>VLOOKUP($B22,RangedStats,lookSource,FALSE)</f>
        <v>Reputation</v>
      </c>
      <c r="D22" s="613">
        <f>VLOOKUP($B22,RangedStats,lookStr,FALSE)</f>
        <v>0</v>
      </c>
      <c r="E22" s="613">
        <f>VLOOKUP($B22,RangedStats,lookAgi,FALSE)</f>
        <v>12</v>
      </c>
      <c r="F22" s="613">
        <f>VLOOKUP($B22,RangedStats,lookSta,FALSE)</f>
        <v>0</v>
      </c>
      <c r="G22" s="614">
        <f>VLOOKUP($B22,RangedStats,lookCrit,FALSE)</f>
        <v>0</v>
      </c>
      <c r="H22" s="614">
        <f>VLOOKUP($B22,RangedStats,lookHit,FALSE)</f>
        <v>11</v>
      </c>
      <c r="I22" s="613">
        <f>VLOOKUP($B22,RangedStats,lookAP,FALSE)</f>
        <v>22</v>
      </c>
      <c r="J22" s="615">
        <f>VLOOKUP($B22,RangedStats,lookRes,FALSE)</f>
        <v>0</v>
      </c>
      <c r="K22" s="614">
        <f>VLOOKUP($B22,RangedStats,lookDod,FALSE)</f>
        <v>0</v>
      </c>
      <c r="L22" s="615">
        <f>VLOOKUP($B22,RangedStats,lookExp,FALSE)</f>
        <v>0</v>
      </c>
      <c r="M22" s="615">
        <f>VLOOKUP($B22,RangedStats,lookDef,FALSE)</f>
        <v>0</v>
      </c>
      <c r="N22" s="1154"/>
      <c r="O22" s="615"/>
      <c r="P22" s="615">
        <f>VLOOKUP($B22,RangedStats,lookHaste,FALSE)</f>
        <v>0</v>
      </c>
      <c r="Q22" s="615">
        <f>VLOOKUP($B22,RangedStats,lookArmor,FALSE)</f>
        <v>0</v>
      </c>
      <c r="R22" s="615" t="str">
        <f>VLOOKUP($B22,RangedStats,lookSoc,FALSE)</f>
        <v>0 0 0</v>
      </c>
      <c r="S22" s="615">
        <f>VLOOKUP($B22,RangedStats,lookSet,FALSE)</f>
        <v>0</v>
      </c>
      <c r="U22" s="1437" t="s">
        <v>2210</v>
      </c>
      <c r="V22" s="1438"/>
      <c r="W22" s="1438"/>
      <c r="X22" s="1439"/>
      <c r="AB22" s="1343" t="s">
        <v>459</v>
      </c>
      <c r="AC22" s="1343" t="b">
        <f>Sockfit!$O$41</f>
        <v>0</v>
      </c>
      <c r="AD22" s="1343" t="str">
        <f>Sockfit!$P$41</f>
        <v>0000</v>
      </c>
      <c r="AE22" s="122"/>
      <c r="AF22" s="1343">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4" t="str">
        <f>IF(AC12,"+"&amp;MID(AD12,4,2)&amp;" "&amp;MID(AD12,1,2),MID($R$22,1,1)&amp;" Red "&amp;MID($R$22,3,1)&amp;" Blue "&amp;MID($R$22,5,1)&amp;" Yellow")</f>
        <v>0 Red 0 Blue 0 Yellow</v>
      </c>
      <c r="B23" s="599" t="s">
        <v>303</v>
      </c>
      <c r="C23" s="1309" t="b">
        <f>MID($R$22,1,1)+MID($R$22,3,1)+MID(R$22,5,1)&gt;=1</f>
        <v>0</v>
      </c>
      <c r="D23" s="600">
        <f>IF($C23,VLOOKUP($B23,GenSocketStats,lookStr,FALSE),0)</f>
        <v>0</v>
      </c>
      <c r="E23" s="600">
        <f>IF($C23,VLOOKUP($B23,GenSocketStats,lookAgi,FALSE),0)</f>
        <v>0</v>
      </c>
      <c r="F23" s="600">
        <f>IF($C23,VLOOKUP($B23,GenSocketStats,lookSta,FALSE),0)</f>
        <v>0</v>
      </c>
      <c r="G23" s="601">
        <f>IF($C23,VLOOKUP($B23,GenSocketStats,lookCrit,FALSE),0)</f>
        <v>0</v>
      </c>
      <c r="H23" s="601">
        <f>IF($C23,VLOOKUP($B23,GenSocketStats,lookHit,FALSE),0)</f>
        <v>0</v>
      </c>
      <c r="I23" s="600">
        <f>IF($C23,VLOOKUP($B23,GenSocketStats,lookAP,FALSE),0)</f>
        <v>0</v>
      </c>
      <c r="J23" s="600">
        <f>IF($C23,VLOOKUP($B23,GenSocketStats,lookRes,FALSE),0)</f>
        <v>0</v>
      </c>
      <c r="K23" s="601">
        <f>IF($C23,VLOOKUP($B23,GenSocketStats,lookDod,FALSE),0)</f>
        <v>0</v>
      </c>
      <c r="L23" s="600">
        <f>IF($C23,VLOOKUP($B23,GenSocketStats,lookExp,FALSE),0)</f>
        <v>0</v>
      </c>
      <c r="M23" s="600"/>
      <c r="N23" s="605"/>
      <c r="O23" s="600"/>
      <c r="P23" s="600">
        <f>IF($C23,VLOOKUP($B23,GenSocketStats,lookHaste,FALSE),0)</f>
        <v>0</v>
      </c>
      <c r="Q23" s="600">
        <f>IF($C23,VLOOKUP($B23,GenSocketStats,lookArmor,FALSE),0)</f>
        <v>0</v>
      </c>
      <c r="R23" s="600">
        <f>IF($C23,VLOOKUP($B23,GenSocketStats,lookSoc,FALSE),0)</f>
        <v>0</v>
      </c>
      <c r="S23" s="602">
        <f>IF($C23,VLOOKUP($B23,GenSocketStats,lookSet,FALSE),0)</f>
        <v>0</v>
      </c>
      <c r="U23" s="1428" t="s">
        <v>460</v>
      </c>
      <c r="V23" s="1429"/>
      <c r="W23" s="1429"/>
      <c r="X23" s="1107" t="b">
        <f>AND($Y$44,COUNTIF($S$10:$S$71,"Assassination")&gt;=4)</f>
        <v>0</v>
      </c>
      <c r="AA23" s="26"/>
      <c r="AB23" s="225"/>
      <c r="AC23" s="225"/>
      <c r="AD23" s="1340"/>
      <c r="AE23" s="122"/>
      <c r="AF23" s="1343"/>
    </row>
    <row r="24" spans="1:32">
      <c r="A24" s="189"/>
      <c r="B24" s="599" t="s">
        <v>303</v>
      </c>
      <c r="C24" s="1309" t="b">
        <f>MID($R$22,1,1)+MID($R$22,3,1)+MID(R$22,5,1)&gt;=2</f>
        <v>0</v>
      </c>
      <c r="D24" s="600">
        <f>IF($C24,VLOOKUP($B24,GenSocketStats,lookStr,FALSE),0)</f>
        <v>0</v>
      </c>
      <c r="E24" s="600">
        <f>IF($C24,VLOOKUP($B24,GenSocketStats,lookAgi,FALSE),0)</f>
        <v>0</v>
      </c>
      <c r="F24" s="600">
        <f>IF($C24,VLOOKUP($B24,GenSocketStats,lookSta,FALSE),0)</f>
        <v>0</v>
      </c>
      <c r="G24" s="601">
        <f>IF($C24,VLOOKUP($B24,GenSocketStats,lookCrit,FALSE),0)</f>
        <v>0</v>
      </c>
      <c r="H24" s="601">
        <f>IF($C24,VLOOKUP($B24,GenSocketStats,lookHit,FALSE),0)</f>
        <v>0</v>
      </c>
      <c r="I24" s="600">
        <f>IF($C24,VLOOKUP($B24,GenSocketStats,lookAP,FALSE),0)</f>
        <v>0</v>
      </c>
      <c r="J24" s="600">
        <f>IF($C24,VLOOKUP($B24,GenSocketStats,lookRes,FALSE),0)</f>
        <v>0</v>
      </c>
      <c r="K24" s="601">
        <f>IF($C24,VLOOKUP($B24,GenSocketStats,lookDod,FALSE),0)</f>
        <v>0</v>
      </c>
      <c r="L24" s="600">
        <f>IF($C24,VLOOKUP($B24,GenSocketStats,lookExp,FALSE),0)</f>
        <v>0</v>
      </c>
      <c r="M24" s="600"/>
      <c r="N24" s="605"/>
      <c r="O24" s="600"/>
      <c r="P24" s="600">
        <f>IF($C24,VLOOKUP($B24,GenSocketStats,lookHaste,FALSE),0)</f>
        <v>0</v>
      </c>
      <c r="Q24" s="600">
        <f>IF($C24,VLOOKUP($B24,GenSocketStats,lookArmor,FALSE),0)</f>
        <v>0</v>
      </c>
      <c r="R24" s="600">
        <f>IF($C24,VLOOKUP($B24,GenSocketStats,lookSoc,FALSE),0)</f>
        <v>0</v>
      </c>
      <c r="S24" s="602">
        <f>IF($C24,VLOOKUP($B24,GenSocketStats,lookSet,FALSE),0)</f>
        <v>0</v>
      </c>
      <c r="U24" s="1422" t="s">
        <v>2408</v>
      </c>
      <c r="V24" s="1423"/>
      <c r="W24" s="1423"/>
      <c r="X24" s="1108" t="b">
        <f>AND($Y$44,COUNTIF($S$10:$S$71,"Bonescythe")&gt;=4)</f>
        <v>0</v>
      </c>
      <c r="Y24" s="23"/>
      <c r="AA24" s="26"/>
      <c r="AB24" s="225"/>
      <c r="AC24" s="225"/>
      <c r="AD24" s="1340"/>
      <c r="AE24" s="122"/>
      <c r="AF24" s="1343"/>
    </row>
    <row r="25" spans="1:32">
      <c r="A25" s="189"/>
      <c r="B25" s="599" t="s">
        <v>303</v>
      </c>
      <c r="C25" s="1309" t="b">
        <f>MID($R$22,1,1)+MID($R$22,3,1)+MID(R$22,5,1)&gt;=3</f>
        <v>0</v>
      </c>
      <c r="D25" s="600">
        <f>IF($C25,VLOOKUP($B25,GenSocketStats,lookStr,FALSE),0)</f>
        <v>0</v>
      </c>
      <c r="E25" s="600">
        <f>IF($C25,VLOOKUP($B25,GenSocketStats,lookAgi,FALSE),0)</f>
        <v>0</v>
      </c>
      <c r="F25" s="600">
        <f>IF($C25,VLOOKUP($B25,GenSocketStats,lookSta,FALSE),0)</f>
        <v>0</v>
      </c>
      <c r="G25" s="601">
        <f>IF($C25,VLOOKUP($B25,GenSocketStats,lookCrit,FALSE),0)</f>
        <v>0</v>
      </c>
      <c r="H25" s="601">
        <f>IF($C25,VLOOKUP($B25,GenSocketStats,lookHit,FALSE),0)</f>
        <v>0</v>
      </c>
      <c r="I25" s="600">
        <f>IF($C25,VLOOKUP($B25,GenSocketStats,lookAP,FALSE),0)</f>
        <v>0</v>
      </c>
      <c r="J25" s="600">
        <f>IF($C25,VLOOKUP($B25,GenSocketStats,lookRes,FALSE),0)</f>
        <v>0</v>
      </c>
      <c r="K25" s="601">
        <f>IF($C25,VLOOKUP($B25,GenSocketStats,lookDod,FALSE),0)</f>
        <v>0</v>
      </c>
      <c r="L25" s="600">
        <f>IF($C25,VLOOKUP($B25,GenSocketStats,lookExp,FALSE),0)</f>
        <v>0</v>
      </c>
      <c r="M25" s="600"/>
      <c r="N25" s="605"/>
      <c r="O25" s="600"/>
      <c r="P25" s="600">
        <f>IF($C25,VLOOKUP($B25,GenSocketStats,lookHaste,FALSE),0)</f>
        <v>0</v>
      </c>
      <c r="Q25" s="600">
        <f>IF($C25,VLOOKUP($B25,GenSocketStats,lookArmor,FALSE),0)</f>
        <v>0</v>
      </c>
      <c r="R25" s="600">
        <f>IF($C25,VLOOKUP($B25,GenSocketStats,lookSoc,FALSE),0)</f>
        <v>0</v>
      </c>
      <c r="S25" s="602">
        <f>IF($C25,VLOOKUP($B25,GenSocketStats,lookSet,FALSE),0)</f>
        <v>0</v>
      </c>
      <c r="U25" s="1422" t="s">
        <v>2409</v>
      </c>
      <c r="V25" s="1423"/>
      <c r="W25" s="1423"/>
      <c r="X25" s="1108" t="b">
        <f>AND($Y$44,COUNTIF($S$10:$S$71,"Bonescythe")&gt;=8)</f>
        <v>0</v>
      </c>
      <c r="Y25" s="43"/>
      <c r="AA25" s="26"/>
      <c r="AB25" s="225"/>
      <c r="AC25" s="225"/>
      <c r="AD25" s="1340"/>
      <c r="AE25" s="122"/>
      <c r="AF25" s="1343"/>
    </row>
    <row r="26" spans="1:32">
      <c r="A26" s="612" t="s">
        <v>461</v>
      </c>
      <c r="B26" s="617" t="s">
        <v>462</v>
      </c>
      <c r="C26" s="1154" t="str">
        <f>VLOOKUP($B26,HelmStats,lookSource,FALSE)</f>
        <v>Karazhan</v>
      </c>
      <c r="D26" s="613">
        <f>VLOOKUP($B26,HelmStats,lookStr,FALSE)</f>
        <v>0</v>
      </c>
      <c r="E26" s="613">
        <f>VLOOKUP($B26,HelmStats,lookAgi,FALSE)</f>
        <v>28</v>
      </c>
      <c r="F26" s="613">
        <f>VLOOKUP($B26,HelmStats,lookSta,FALSE)</f>
        <v>39</v>
      </c>
      <c r="G26" s="614">
        <f>VLOOKUP($B26,HelmStats,lookCrit,FALSE)</f>
        <v>0</v>
      </c>
      <c r="H26" s="614">
        <f>VLOOKUP($B26,HelmStats,lookHit,FALSE)</f>
        <v>14</v>
      </c>
      <c r="I26" s="613">
        <f>VLOOKUP($B26,HelmStats,lookAP,FALSE)</f>
        <v>78</v>
      </c>
      <c r="J26" s="615">
        <f>VLOOKUP($B26,HelmStats,lookRes,FALSE)</f>
        <v>0</v>
      </c>
      <c r="K26" s="614">
        <f>VLOOKUP($B26,HelmStats,lookDod,FALSE)</f>
        <v>0</v>
      </c>
      <c r="L26" s="615">
        <f>VLOOKUP($B26,HelmStats,lookExp,FALSE)</f>
        <v>0</v>
      </c>
      <c r="M26" s="615">
        <f>VLOOKUP($B26,HelmStats,lookDef,FALSE)</f>
        <v>0</v>
      </c>
      <c r="N26" s="1154"/>
      <c r="O26" s="615"/>
      <c r="P26" s="615">
        <f>VLOOKUP($B26,HelmStats,lookHaste,FALSE)</f>
        <v>0</v>
      </c>
      <c r="Q26" s="615">
        <f>VLOOKUP($B26,HelmStats,lookArmor,FALSE)</f>
        <v>0</v>
      </c>
      <c r="R26" s="615" t="str">
        <f>VLOOKUP($B26,HelmStats,lookSoc,FALSE)</f>
        <v>1 0 0 1</v>
      </c>
      <c r="S26" s="615" t="str">
        <f>VLOOKUP($B26,HelmStats,lookSet,FALSE)</f>
        <v>Netherblade</v>
      </c>
      <c r="U26" s="1428" t="s">
        <v>463</v>
      </c>
      <c r="V26" s="1429"/>
      <c r="W26" s="1429"/>
      <c r="X26" s="1107" t="b">
        <f>AND($Y$44,COUNTIF($S$10:$S$71,"Deathmantle")&gt;=2)</f>
        <v>0</v>
      </c>
      <c r="Y26" s="23"/>
      <c r="AA26" s="26"/>
      <c r="AB26" s="225"/>
      <c r="AC26" s="225"/>
      <c r="AD26" s="1340"/>
      <c r="AE26" s="122"/>
      <c r="AF26" s="1343">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464</v>
      </c>
      <c r="B27" s="609" t="s">
        <v>465</v>
      </c>
      <c r="C27" s="1308"/>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5"/>
      <c r="O27" s="39"/>
      <c r="P27" s="41">
        <f>VLOOKUP($B27,HelmEnchantStats,lookHaste,FALSE)</f>
        <v>0</v>
      </c>
      <c r="Q27" s="41">
        <f>VLOOKUP($B27,HelmEnchantStats,lookArmor,FALSE)</f>
        <v>0</v>
      </c>
      <c r="R27" s="39">
        <f>VLOOKUP($B27,HelmEnchantStats,lookSoc,FALSE)</f>
        <v>0</v>
      </c>
      <c r="S27" s="39">
        <f>VLOOKUP($B27,HelmEnchantStats,lookSet,FALSE)</f>
        <v>0</v>
      </c>
      <c r="U27" s="1428" t="s">
        <v>433</v>
      </c>
      <c r="V27" s="1429"/>
      <c r="W27" s="1429"/>
      <c r="X27" s="1107" t="b">
        <f>AND($Y$44,COUNTIF($S$10:$S$71,"Deathmantle")&gt;=4)</f>
        <v>0</v>
      </c>
      <c r="Y27" s="43"/>
      <c r="AA27" s="26"/>
      <c r="AB27" s="225"/>
      <c r="AC27" s="225"/>
      <c r="AD27" s="1340"/>
      <c r="AE27" s="122"/>
      <c r="AF27" s="1343">
        <f>$D27*dpsStr+$E27*dpsAgi+$G27*dpsCrit+$H27*dpsHit+$I27*dpsAP+$L27*dpsExp+$P27*dpsHaste+$Q27*dpsArmor</f>
        <v>100.94972435311001</v>
      </c>
    </row>
    <row r="28" spans="1:32">
      <c r="A28" s="189" t="s">
        <v>774</v>
      </c>
      <c r="B28" s="599" t="s">
        <v>292</v>
      </c>
      <c r="C28" s="1309">
        <f>MID($R$26,7,1)+0</f>
        <v>1</v>
      </c>
      <c r="D28" s="600">
        <f>IF($C28,VLOOKUP($B28,MetaSocketStats,lookStr,FALSE),0)</f>
        <v>0</v>
      </c>
      <c r="E28" s="600">
        <f>IF($C28,VLOOKUP($B28,MetaSocketStats,lookAgi,FALSE),0)</f>
        <v>12</v>
      </c>
      <c r="F28" s="600">
        <f>IF($C28,VLOOKUP($B28,MetaSocketStats,lookSta,FALSE),0)</f>
        <v>0</v>
      </c>
      <c r="G28" s="601">
        <f>IF($C28,VLOOKUP($B28,MetaSocketStats,lookCrit,FALSE),0)</f>
        <v>0</v>
      </c>
      <c r="H28" s="601">
        <f>IF($C28,VLOOKUP($B28,MetaSocketStats,lookHit,FALSE),0)</f>
        <v>0</v>
      </c>
      <c r="I28" s="600">
        <f>IF($C28,VLOOKUP($B28,MetaSocketStats,lookAP,FALSE),0)</f>
        <v>0</v>
      </c>
      <c r="J28" s="600">
        <f>IF($C28,VLOOKUP($B28,MetaSocketStats,lookRes,FALSE),0)</f>
        <v>0</v>
      </c>
      <c r="K28" s="601">
        <f>IF($C28,VLOOKUP($B28,MetaSocketStats,lookDod,FALSE),0)</f>
        <v>0</v>
      </c>
      <c r="L28" s="600">
        <f>IF($C28,VLOOKUP($B28,MetaSocketStats,lookExp,FALSE),0)</f>
        <v>0</v>
      </c>
      <c r="M28" s="600"/>
      <c r="N28" s="605"/>
      <c r="O28" s="600"/>
      <c r="P28" s="600">
        <f>IF($C28,VLOOKUP($B28,MetaSocketStats,lookHaste,FALSE),0)</f>
        <v>0</v>
      </c>
      <c r="Q28" s="600">
        <f>IF($C28,VLOOKUP($B28,MetaSocketStats,lookArmor,FALSE),0)</f>
        <v>0</v>
      </c>
      <c r="R28" s="602">
        <f>IF(B28="none",0,1)</f>
        <v>1</v>
      </c>
      <c r="S28" s="602">
        <f>IF($C18,VLOOKUP($B28,MetaSocketStats,lookSet,FALSE),0)</f>
        <v>0</v>
      </c>
      <c r="T28" s="201">
        <f>IF($C28,VLOOKUP($B28,MetaSocketStats,20,FALSE),0)</f>
        <v>0</v>
      </c>
      <c r="U28" s="1422" t="s">
        <v>434</v>
      </c>
      <c r="V28" s="1423"/>
      <c r="W28" s="1423"/>
      <c r="X28" s="1108" t="b">
        <f>AND($Y$44,COUNTIF($S$10:$S$71,"Gladiator's")&gt;=2)</f>
        <v>0</v>
      </c>
      <c r="Y28" s="23">
        <f>IF(X28,35,0)</f>
        <v>0</v>
      </c>
      <c r="AA28" s="26"/>
      <c r="AB28" s="225"/>
      <c r="AC28" s="225"/>
      <c r="AD28" s="1340"/>
      <c r="AE28" s="122"/>
      <c r="AF28" s="1343"/>
    </row>
    <row r="29" spans="1:32">
      <c r="A29" s="604" t="str">
        <f>IF(AC13,"+"&amp;MID(AD13,4,2)&amp;" "&amp;MID(AD13,1,2),MID($R$26,1,1)&amp;" Red "&amp;MID($R$26,3,1)&amp;" Blue "&amp;MID($R$26,5,1)&amp;" Yellow")</f>
        <v>+4 ag</v>
      </c>
      <c r="B29" s="606" t="s">
        <v>1979</v>
      </c>
      <c r="C29" s="1309" t="b">
        <f>MID($R$26,1,1)+MID($R$26,3,1)+MID(R$26,5,1)&gt;=1</f>
        <v>1</v>
      </c>
      <c r="D29" s="600">
        <f>IF($C29,VLOOKUP($B29,GenSocketStats,lookStr,FALSE),0)</f>
        <v>0</v>
      </c>
      <c r="E29" s="600">
        <f>IF($C29,VLOOKUP($B29,GenSocketStats,lookAgi,FALSE),0)</f>
        <v>4</v>
      </c>
      <c r="F29" s="600">
        <f>IF($C29,VLOOKUP($B29,GenSocketStats,lookSta,FALSE),0)</f>
        <v>6</v>
      </c>
      <c r="G29" s="601">
        <f>IF($C29,VLOOKUP($B29,GenSocketStats,lookCrit,FALSE),0)</f>
        <v>0</v>
      </c>
      <c r="H29" s="601">
        <f>IF($C29,VLOOKUP($B29,GenSocketStats,lookHit,FALSE),0)</f>
        <v>0</v>
      </c>
      <c r="I29" s="600">
        <f>IF($C29,VLOOKUP($B29,GenSocketStats,lookAP,FALSE),0)</f>
        <v>0</v>
      </c>
      <c r="J29" s="600">
        <f>IF($C29,VLOOKUP($B29,GenSocketStats,lookRes,FALSE),0)</f>
        <v>0</v>
      </c>
      <c r="K29" s="601">
        <f>IF($C29,VLOOKUP($B29,GenSocketStats,lookDod,FALSE),0)</f>
        <v>0</v>
      </c>
      <c r="L29" s="600">
        <f>IF($C29,VLOOKUP($B29,GenSocketStats,lookExp,FALSE),0)</f>
        <v>0</v>
      </c>
      <c r="M29" s="600"/>
      <c r="N29" s="605"/>
      <c r="O29" s="600"/>
      <c r="P29" s="600">
        <f>IF($C29,VLOOKUP($B29,GenSocketStats,lookHaste,FALSE),0)</f>
        <v>0</v>
      </c>
      <c r="Q29" s="600">
        <f>IF($C29,VLOOKUP($B29,GenSocketStats,lookArmor,FALSE),0)</f>
        <v>0</v>
      </c>
      <c r="R29" s="600" t="str">
        <f>IF($C29,VLOOKUP($B29,GenSocketStats,lookSoc,FALSE),0)</f>
        <v>1 1 0</v>
      </c>
      <c r="S29" s="602">
        <f>IF($C29,VLOOKUP($B29,GenSocketStats,lookSet,FALSE),0)</f>
        <v>0</v>
      </c>
      <c r="U29" s="1432" t="s">
        <v>2214</v>
      </c>
      <c r="V29" s="1423"/>
      <c r="W29" s="1423"/>
      <c r="X29" s="1108" t="b">
        <f>AND($Y$44,COUNTIF($S$10:$S$71,"Gladiator's")&gt;=4)</f>
        <v>0</v>
      </c>
      <c r="Y29" s="23"/>
      <c r="AA29" s="26"/>
      <c r="AB29" s="225"/>
      <c r="AC29" s="224"/>
      <c r="AD29" s="1340"/>
      <c r="AE29" s="122"/>
      <c r="AF29" s="1343"/>
    </row>
    <row r="30" spans="1:32">
      <c r="A30" s="189"/>
      <c r="B30" s="599" t="s">
        <v>303</v>
      </c>
      <c r="C30" s="1309" t="b">
        <f>MID($R$26,1,1)+MID($R$26,3,1)+MID(R$26,5,1)&gt;=2</f>
        <v>0</v>
      </c>
      <c r="D30" s="600">
        <f>IF($C30,VLOOKUP($B30,GenSocketStats,lookStr,FALSE),0)</f>
        <v>0</v>
      </c>
      <c r="E30" s="600">
        <f>IF($C30,VLOOKUP($B30,GenSocketStats,lookAgi,FALSE),0)</f>
        <v>0</v>
      </c>
      <c r="F30" s="600">
        <f>IF($C30,VLOOKUP($B30,GenSocketStats,lookSta,FALSE),0)</f>
        <v>0</v>
      </c>
      <c r="G30" s="601">
        <f>IF($C30,VLOOKUP($B30,GenSocketStats,lookCrit,FALSE),0)</f>
        <v>0</v>
      </c>
      <c r="H30" s="601">
        <f>IF($C30,VLOOKUP($B30,GenSocketStats,lookHit,FALSE),0)</f>
        <v>0</v>
      </c>
      <c r="I30" s="600">
        <f>IF($C30,VLOOKUP($B30,GenSocketStats,lookAP,FALSE),0)</f>
        <v>0</v>
      </c>
      <c r="J30" s="600">
        <f>IF($C30,VLOOKUP($B30,GenSocketStats,lookRes,FALSE),0)</f>
        <v>0</v>
      </c>
      <c r="K30" s="601">
        <f>IF($C30,VLOOKUP($B30,GenSocketStats,lookDod,FALSE),0)</f>
        <v>0</v>
      </c>
      <c r="L30" s="600">
        <f>IF($C30,VLOOKUP($B30,GenSocketStats,lookExp,FALSE),0)</f>
        <v>0</v>
      </c>
      <c r="M30" s="600"/>
      <c r="N30" s="605"/>
      <c r="O30" s="600"/>
      <c r="P30" s="600">
        <f>IF($C30,VLOOKUP($B30,GenSocketStats,lookHaste,FALSE),0)</f>
        <v>0</v>
      </c>
      <c r="Q30" s="600">
        <f>IF($C30,VLOOKUP($B30,GenSocketStats,lookArmor,FALSE),0)</f>
        <v>0</v>
      </c>
      <c r="R30" s="600">
        <f>IF($C30,VLOOKUP($B30,GenSocketStats,lookSoc,FALSE),0)</f>
        <v>0</v>
      </c>
      <c r="S30" s="602">
        <f>IF($C30,VLOOKUP($B30,GenSocketStats,lookSet,FALSE),0)</f>
        <v>0</v>
      </c>
      <c r="U30" s="1428" t="s">
        <v>435</v>
      </c>
      <c r="V30" s="1429"/>
      <c r="W30" s="1429"/>
      <c r="X30" s="1107" t="b">
        <f>AND($Y$44,COUNTIF($S$10:$S$71,"Netherblade")&gt;=2)</f>
        <v>1</v>
      </c>
      <c r="Y30" s="23"/>
      <c r="AB30" s="225"/>
      <c r="AC30" s="224"/>
      <c r="AD30" s="1340"/>
      <c r="AE30" s="122"/>
      <c r="AF30" s="1343"/>
    </row>
    <row r="31" spans="1:32">
      <c r="A31" s="189"/>
      <c r="B31" s="599" t="s">
        <v>303</v>
      </c>
      <c r="C31" s="1309" t="b">
        <f>MID($R$26,1,1)+MID($R$26,3,1)+MID(R$26,5,1)&gt;=3</f>
        <v>0</v>
      </c>
      <c r="D31" s="600">
        <f>IF($C31,VLOOKUP($B31,GenSocketStats,lookStr,FALSE),0)</f>
        <v>0</v>
      </c>
      <c r="E31" s="600">
        <f>IF($C31,VLOOKUP($B31,GenSocketStats,lookAgi,FALSE),0)</f>
        <v>0</v>
      </c>
      <c r="F31" s="600">
        <f>IF($C31,VLOOKUP($B31,GenSocketStats,lookSta,FALSE),0)</f>
        <v>0</v>
      </c>
      <c r="G31" s="601">
        <f>IF($C31,VLOOKUP($B31,GenSocketStats,lookCrit,FALSE),0)</f>
        <v>0</v>
      </c>
      <c r="H31" s="601">
        <f>IF($C31,VLOOKUP($B31,GenSocketStats,lookHit,FALSE),0)</f>
        <v>0</v>
      </c>
      <c r="I31" s="600">
        <f>IF($C31,VLOOKUP($B31,GenSocketStats,lookAP,FALSE),0)</f>
        <v>0</v>
      </c>
      <c r="J31" s="600">
        <f>IF($C31,VLOOKUP($B31,GenSocketStats,lookRes,FALSE),0)</f>
        <v>0</v>
      </c>
      <c r="K31" s="601">
        <f>IF($C31,VLOOKUP($B31,GenSocketStats,lookDod,FALSE),0)</f>
        <v>0</v>
      </c>
      <c r="L31" s="600">
        <f>IF($C31,VLOOKUP($B31,GenSocketStats,lookExp,FALSE),0)</f>
        <v>0</v>
      </c>
      <c r="M31" s="600"/>
      <c r="N31" s="605"/>
      <c r="O31" s="600"/>
      <c r="P31" s="600">
        <f>IF($C31,VLOOKUP($B31,GenSocketStats,lookHaste,FALSE),0)</f>
        <v>0</v>
      </c>
      <c r="Q31" s="600">
        <f>IF($C31,VLOOKUP($B31,GenSocketStats,lookArmor,FALSE),0)</f>
        <v>0</v>
      </c>
      <c r="R31" s="600">
        <f>IF($C31,VLOOKUP($B31,GenSocketStats,lookSoc,FALSE),0)</f>
        <v>0</v>
      </c>
      <c r="S31" s="602">
        <f>IF($C31,VLOOKUP($B31,GenSocketStats,lookSet,FALSE),0)</f>
        <v>0</v>
      </c>
      <c r="T31" s="27"/>
      <c r="U31" s="1428" t="s">
        <v>436</v>
      </c>
      <c r="V31" s="1429"/>
      <c r="W31" s="1429"/>
      <c r="X31" s="1107" t="b">
        <f>AND($Y$44,COUNTIF($S$10:$S$71,"Netherblade")&gt;=4)</f>
        <v>0</v>
      </c>
      <c r="AA31" s="26"/>
      <c r="AB31" s="225"/>
      <c r="AC31" s="225"/>
      <c r="AD31" s="1340"/>
      <c r="AE31" s="122"/>
      <c r="AF31" s="1343"/>
    </row>
    <row r="32" spans="1:32">
      <c r="A32" s="612" t="s">
        <v>437</v>
      </c>
      <c r="B32" s="617" t="s">
        <v>657</v>
      </c>
      <c r="C32" s="1154" t="str">
        <f>VLOOKUP($B32,NeckStats,lookSource,FALSE)</f>
        <v>Heroic</v>
      </c>
      <c r="D32" s="613">
        <f>VLOOKUP($B32,NeckStats,lookStr,FALSE)</f>
        <v>0</v>
      </c>
      <c r="E32" s="613">
        <f>VLOOKUP($B32,NeckStats,lookAgi,FALSE)</f>
        <v>20</v>
      </c>
      <c r="F32" s="613">
        <f>VLOOKUP($B32,NeckStats,lookSta,FALSE)</f>
        <v>18</v>
      </c>
      <c r="G32" s="614">
        <f>VLOOKUP($B32,NeckStats,lookCrit,FALSE)</f>
        <v>0</v>
      </c>
      <c r="H32" s="614">
        <f>VLOOKUP($B32,NeckStats,lookHit,FALSE)</f>
        <v>18</v>
      </c>
      <c r="I32" s="613">
        <f>VLOOKUP($B32,NeckStats,lookAP,FALSE)</f>
        <v>42</v>
      </c>
      <c r="J32" s="615">
        <f>VLOOKUP($B32,NeckStats,lookRes,FALSE)</f>
        <v>0</v>
      </c>
      <c r="K32" s="614">
        <f>VLOOKUP($B32,NeckStats,lookDod,FALSE)</f>
        <v>0</v>
      </c>
      <c r="L32" s="615">
        <f>VLOOKUP($B32,NeckStats,lookExp,FALSE)</f>
        <v>0</v>
      </c>
      <c r="M32" s="615">
        <f>VLOOKUP($B32,NeckStats,lookDef,FALSE)</f>
        <v>0</v>
      </c>
      <c r="N32" s="1154"/>
      <c r="O32" s="615"/>
      <c r="P32" s="615">
        <f>VLOOKUP($B32,NeckStats,lookHaste,FALSE)</f>
        <v>0</v>
      </c>
      <c r="Q32" s="615">
        <f>VLOOKUP($B32,NeckStats,lookArmor,FALSE)</f>
        <v>0</v>
      </c>
      <c r="R32" s="615" t="str">
        <f>VLOOKUP($B32,NeckStats,lookSoc,FALSE)</f>
        <v>0 0 0</v>
      </c>
      <c r="S32" s="615">
        <f>VLOOKUP($B32,NeckStats,lookSet,FALSE)</f>
        <v>0</v>
      </c>
      <c r="T32" s="27"/>
      <c r="U32" s="1422" t="s">
        <v>658</v>
      </c>
      <c r="V32" s="1423"/>
      <c r="W32" s="1423"/>
      <c r="X32" s="1108" t="b">
        <f>AND($Y$44,COUNTIF($S$10:$S$71,"Fel Skin")&gt;=3)</f>
        <v>0</v>
      </c>
      <c r="Y32" s="23">
        <f>IF(X32,20,0)</f>
        <v>0</v>
      </c>
      <c r="AA32" s="26"/>
      <c r="AB32" s="225"/>
      <c r="AC32" s="224"/>
      <c r="AD32" s="1340"/>
      <c r="AE32" s="122"/>
      <c r="AF32" s="1343">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4" t="str">
        <f>IF(AC14,"+"&amp;MID(AD14,4,2)&amp;" "&amp;MID(AD14,1,2),MID($R$32,1,1)&amp;" Red "&amp;MID($R$32,3,1)&amp;" Blue "&amp;MID($R$32,5,1)&amp;" Yellow")</f>
        <v>0 Red 0 Blue 0 Yellow</v>
      </c>
      <c r="B33" s="599" t="s">
        <v>303</v>
      </c>
      <c r="C33" s="1309" t="b">
        <f>MID($R$32,1,1)+MID($R$32,3,1)+MID(R$32,5,1)&gt;=1</f>
        <v>0</v>
      </c>
      <c r="D33" s="600">
        <f>IF($C33,VLOOKUP($B33,GenSocketStats,lookStr,FALSE),0)</f>
        <v>0</v>
      </c>
      <c r="E33" s="600">
        <f>IF($C33,VLOOKUP($B33,GenSocketStats,lookAgi,FALSE),0)</f>
        <v>0</v>
      </c>
      <c r="F33" s="600">
        <f>IF($C33,VLOOKUP($B33,GenSocketStats,lookSta,FALSE),0)</f>
        <v>0</v>
      </c>
      <c r="G33" s="601">
        <f>IF($C33,VLOOKUP($B33,GenSocketStats,lookCrit,FALSE),0)</f>
        <v>0</v>
      </c>
      <c r="H33" s="601">
        <f>IF($C33,VLOOKUP($B33,GenSocketStats,lookHit,FALSE),0)</f>
        <v>0</v>
      </c>
      <c r="I33" s="600">
        <f>IF($C33,VLOOKUP($B33,GenSocketStats,lookAP,FALSE),0)</f>
        <v>0</v>
      </c>
      <c r="J33" s="600">
        <f>IF($C33,VLOOKUP($B33,GenSocketStats,lookRes,FALSE),0)</f>
        <v>0</v>
      </c>
      <c r="K33" s="601">
        <f>IF($C33,VLOOKUP($B33,GenSocketStats,lookDod,FALSE),0)</f>
        <v>0</v>
      </c>
      <c r="L33" s="600">
        <f>IF($C33,VLOOKUP($B33,GenSocketStats,lookExp,FALSE),0)</f>
        <v>0</v>
      </c>
      <c r="M33" s="600"/>
      <c r="N33" s="605"/>
      <c r="O33" s="600"/>
      <c r="P33" s="600">
        <f>IF($C33,VLOOKUP($B33,GenSocketStats,lookHaste,FALSE),0)</f>
        <v>0</v>
      </c>
      <c r="Q33" s="600">
        <f>IF($C33,VLOOKUP($B33,GenSocketStats,lookArmor,FALSE),0)</f>
        <v>0</v>
      </c>
      <c r="R33" s="600">
        <f>IF($C33,VLOOKUP($B33,GenSocketStats,lookSoc,FALSE),0)</f>
        <v>0</v>
      </c>
      <c r="S33" s="602">
        <f>IF($C33,VLOOKUP($B33,GenSocketStats,lookSet,FALSE),0)</f>
        <v>0</v>
      </c>
      <c r="T33" s="27"/>
      <c r="U33" s="1428" t="s">
        <v>659</v>
      </c>
      <c r="V33" s="1429"/>
      <c r="W33" s="1429"/>
      <c r="X33" s="1107" t="b">
        <f>AND($Y$44,COUNTIF($S$10:$S$71,"Primal Intent")&gt;=3)</f>
        <v>0</v>
      </c>
      <c r="Y33" s="23">
        <f>IF(X33,40,0)</f>
        <v>0</v>
      </c>
      <c r="AA33" s="26"/>
      <c r="AB33" s="225"/>
      <c r="AC33" s="224"/>
      <c r="AD33" s="1340"/>
      <c r="AE33" s="122"/>
      <c r="AF33" s="1343"/>
    </row>
    <row r="34" spans="1:32">
      <c r="A34" s="27"/>
      <c r="B34" s="599" t="s">
        <v>303</v>
      </c>
      <c r="C34" s="1309" t="b">
        <f>MID($R$32,1,1)+MID($R$32,3,1)+MID(R$32,5,1)&gt;=2</f>
        <v>0</v>
      </c>
      <c r="D34" s="600">
        <f>IF($C34,VLOOKUP($B34,GenSocketStats,lookStr,FALSE),0)</f>
        <v>0</v>
      </c>
      <c r="E34" s="600">
        <f>IF($C34,VLOOKUP($B34,GenSocketStats,lookAgi,FALSE),0)</f>
        <v>0</v>
      </c>
      <c r="F34" s="600">
        <f>IF($C34,VLOOKUP($B34,GenSocketStats,lookSta,FALSE),0)</f>
        <v>0</v>
      </c>
      <c r="G34" s="601">
        <f>IF($C34,VLOOKUP($B34,GenSocketStats,lookCrit,FALSE),0)</f>
        <v>0</v>
      </c>
      <c r="H34" s="601">
        <f>IF($C34,VLOOKUP($B34,GenSocketStats,lookHit,FALSE),0)</f>
        <v>0</v>
      </c>
      <c r="I34" s="600">
        <f>IF($C34,VLOOKUP($B34,GenSocketStats,lookAP,FALSE),0)</f>
        <v>0</v>
      </c>
      <c r="J34" s="600">
        <f>IF($C34,VLOOKUP($B34,GenSocketStats,lookRes,FALSE),0)</f>
        <v>0</v>
      </c>
      <c r="K34" s="601">
        <f>IF($C34,VLOOKUP($B34,GenSocketStats,lookDod,FALSE),0)</f>
        <v>0</v>
      </c>
      <c r="L34" s="600">
        <f>IF($C34,VLOOKUP($B34,GenSocketStats,lookExp,FALSE),0)</f>
        <v>0</v>
      </c>
      <c r="M34" s="600"/>
      <c r="N34" s="605"/>
      <c r="O34" s="600"/>
      <c r="P34" s="600">
        <f>IF($C34,VLOOKUP($B34,GenSocketStats,lookHaste,FALSE),0)</f>
        <v>0</v>
      </c>
      <c r="Q34" s="600">
        <f>IF($C34,VLOOKUP($B34,GenSocketStats,lookArmor,FALSE),0)</f>
        <v>0</v>
      </c>
      <c r="R34" s="600">
        <f>IF($C34,VLOOKUP($B34,GenSocketStats,lookSoc,FALSE),0)</f>
        <v>0</v>
      </c>
      <c r="S34" s="602">
        <f>IF($C34,VLOOKUP($B34,GenSocketStats,lookSet,FALSE),0)</f>
        <v>0</v>
      </c>
      <c r="T34" s="27"/>
      <c r="U34" s="1422" t="s">
        <v>1115</v>
      </c>
      <c r="V34" s="1434"/>
      <c r="W34" s="1434"/>
      <c r="X34" s="1108" t="b">
        <f>AND($Y$44,COUNTIF($S$10:$S$71,"Wastewalker")&gt;=2)</f>
        <v>1</v>
      </c>
      <c r="Y34" s="23">
        <f>IF(X34,35,0)</f>
        <v>35</v>
      </c>
      <c r="AA34" s="26"/>
      <c r="AB34" s="225"/>
      <c r="AC34" s="224"/>
      <c r="AD34" s="1340"/>
      <c r="AE34" s="122"/>
      <c r="AF34" s="1343"/>
    </row>
    <row r="35" spans="1:32">
      <c r="A35" s="612" t="s">
        <v>660</v>
      </c>
      <c r="B35" s="617" t="s">
        <v>1015</v>
      </c>
      <c r="C35" s="1154" t="str">
        <f>VLOOKUP($B35,ShoulderStats,lookSource,FALSE)</f>
        <v>Heroic</v>
      </c>
      <c r="D35" s="613">
        <f>VLOOKUP($B35,ShoulderStats,lookStr,FALSE)</f>
        <v>0</v>
      </c>
      <c r="E35" s="613">
        <f>VLOOKUP($B35,ShoulderStats,lookAgi,FALSE)</f>
        <v>25</v>
      </c>
      <c r="F35" s="613">
        <f>VLOOKUP($B35,ShoulderStats,lookSta,FALSE)</f>
        <v>13</v>
      </c>
      <c r="G35" s="614">
        <f>VLOOKUP($B35,ShoulderStats,lookCrit,FALSE)</f>
        <v>0</v>
      </c>
      <c r="H35" s="614">
        <f>VLOOKUP($B35,ShoulderStats,lookHit,FALSE)</f>
        <v>16</v>
      </c>
      <c r="I35" s="613">
        <f>VLOOKUP($B35,ShoulderStats,lookAP,FALSE)</f>
        <v>34</v>
      </c>
      <c r="J35" s="614">
        <f>VLOOKUP($B35,ShoulderStats,lookRes,FALSE)</f>
        <v>0</v>
      </c>
      <c r="K35" s="614">
        <f>VLOOKUP($B35,ShoulderStats,lookDod,FALSE)</f>
        <v>0</v>
      </c>
      <c r="L35" s="615">
        <f>VLOOKUP($B35,ShoulderStats,lookExp,FALSE)</f>
        <v>0</v>
      </c>
      <c r="M35" s="615">
        <f>VLOOKUP($B35,ShoulderStats,lookDef,FALSE)</f>
        <v>0</v>
      </c>
      <c r="N35" s="1154"/>
      <c r="O35" s="615"/>
      <c r="P35" s="615">
        <f>VLOOKUP($B35,ShoulderStats,lookHaste,FALSE)</f>
        <v>0</v>
      </c>
      <c r="Q35" s="615">
        <f>VLOOKUP($B35,ShoulderStats,lookArmor,FALSE)</f>
        <v>0</v>
      </c>
      <c r="R35" s="615" t="str">
        <f>VLOOKUP($B35,ShoulderStats,lookSoc,FALSE)</f>
        <v>1 1 0</v>
      </c>
      <c r="S35" s="615" t="str">
        <f>VLOOKUP($B35,ShoulderStats,lookSet,FALSE)</f>
        <v>Wastewalker</v>
      </c>
      <c r="U35" s="1422" t="s">
        <v>1116</v>
      </c>
      <c r="V35" s="1434"/>
      <c r="W35" s="1434"/>
      <c r="X35" s="1108" t="b">
        <f>AND($Y$44,COUNTIF($S$10:$S$71,"Wastewalker")&gt;=4)</f>
        <v>0</v>
      </c>
      <c r="Y35" s="23">
        <f>IF(X35,160*Optimize!C58,0)</f>
        <v>0</v>
      </c>
      <c r="AA35" s="26"/>
      <c r="AB35" s="225"/>
      <c r="AC35" s="224"/>
      <c r="AD35" s="1340"/>
      <c r="AE35" s="122"/>
      <c r="AF35" s="1343">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10" t="s">
        <v>1018</v>
      </c>
      <c r="C36" s="1308"/>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5"/>
      <c r="O36" s="39"/>
      <c r="P36" s="39">
        <f>VLOOKUP($B36,ShoulderEnchantStats,lookHaste,FALSE)</f>
        <v>0</v>
      </c>
      <c r="Q36" s="39">
        <f>VLOOKUP($B36,ShoulderEnchantStats,lookArmor,FALSE)</f>
        <v>0</v>
      </c>
      <c r="R36" s="39">
        <f>VLOOKUP($B36,ShoulderEnchantStats,lookSoc,FALSE)</f>
        <v>0</v>
      </c>
      <c r="S36" s="39">
        <f>VLOOKUP($B36,ShoulderEnchantStats,lookSet,FALSE)</f>
        <v>0</v>
      </c>
      <c r="U36" s="1428" t="s">
        <v>1119</v>
      </c>
      <c r="V36" s="1433"/>
      <c r="W36" s="1433"/>
      <c r="X36" s="1107" t="b">
        <f>AND($Y$44,COUNTIF($S$10:$S$71,"Slayer")&gt;=2)</f>
        <v>0</v>
      </c>
      <c r="Y36" s="44">
        <f>IF(Slayer2,1.35,1.3)</f>
        <v>1.3</v>
      </c>
      <c r="AA36" s="26"/>
      <c r="AB36" s="225"/>
      <c r="AC36" s="224"/>
      <c r="AD36" s="1340"/>
      <c r="AE36" s="122"/>
      <c r="AF36" s="1343">
        <f>$D36*dpsStr+$E36*dpsAgi+$G36*dpsCrit+$H36*dpsHit+$I36*dpsAP+$L36*dpsExp+$P36*dpsHaste+$Q36*dpsArmor</f>
        <v>18.891728949367007</v>
      </c>
    </row>
    <row r="37" spans="1:32">
      <c r="A37" s="604" t="str">
        <f>IF(AC15,"+"&amp;MID(AD15,4,2)&amp;" "&amp;MID(AD15,1,2),MID($R$35,1,1)&amp;" Red "&amp;MID($R$35,3,1)&amp;" Blue "&amp;MID($R$35,5,1)&amp;" Yellow")</f>
        <v>1 Red 1 Blue 0 Yellow</v>
      </c>
      <c r="B37" s="599" t="s">
        <v>1983</v>
      </c>
      <c r="C37" s="1309" t="b">
        <f>MID($R$35,1,1)+MID($R$35,3,1)+MID(R$35,5,1)&gt;=1</f>
        <v>1</v>
      </c>
      <c r="D37" s="600">
        <f>IF($C37,VLOOKUP($B37,GenSocketStats,lookStr,FALSE),0)</f>
        <v>0</v>
      </c>
      <c r="E37" s="600">
        <f>IF($C37,VLOOKUP($B37,GenSocketStats,lookAgi,FALSE),0)</f>
        <v>0</v>
      </c>
      <c r="F37" s="600">
        <f>IF($C37,VLOOKUP($B37,GenSocketStats,lookSta,FALSE),0)</f>
        <v>0</v>
      </c>
      <c r="G37" s="601">
        <f>IF($C37,VLOOKUP($B37,GenSocketStats,lookCrit,FALSE),0)</f>
        <v>0</v>
      </c>
      <c r="H37" s="601">
        <f>IF($C37,VLOOKUP($B37,GenSocketStats,lookHit,FALSE),0)</f>
        <v>8</v>
      </c>
      <c r="I37" s="600">
        <f>IF($C37,VLOOKUP($B37,GenSocketStats,lookAP,FALSE),0)</f>
        <v>0</v>
      </c>
      <c r="J37" s="600">
        <f>IF($C37,VLOOKUP($B37,GenSocketStats,lookRes,FALSE),0)</f>
        <v>0</v>
      </c>
      <c r="K37" s="601">
        <f>IF($C37,VLOOKUP($B37,GenSocketStats,lookDod,FALSE),0)</f>
        <v>0</v>
      </c>
      <c r="L37" s="600">
        <f>IF($C37,VLOOKUP($B37,GenSocketStats,lookExp,FALSE),0)</f>
        <v>0</v>
      </c>
      <c r="M37" s="600"/>
      <c r="N37" s="605"/>
      <c r="O37" s="600"/>
      <c r="P37" s="600">
        <f>IF($C37,VLOOKUP($B37,GenSocketStats,lookHaste,FALSE),0)</f>
        <v>0</v>
      </c>
      <c r="Q37" s="600">
        <f>IF($C37,VLOOKUP($B37,GenSocketStats,lookArmor,FALSE),0)</f>
        <v>0</v>
      </c>
      <c r="R37" s="600" t="str">
        <f>IF($C37,VLOOKUP($B37,GenSocketStats,lookSoc,FALSE),0)</f>
        <v>0 0 1</v>
      </c>
      <c r="S37" s="602">
        <f>IF($C37,VLOOKUP($B37,GenSocketStats,lookSet,FALSE),0)</f>
        <v>0</v>
      </c>
      <c r="U37" s="1428" t="s">
        <v>1122</v>
      </c>
      <c r="V37" s="1433"/>
      <c r="W37" s="1433"/>
      <c r="X37" s="1107" t="b">
        <f>AND($Y$44,COUNTIF($S$10:$S$71,"Slayer")&gt;=4)</f>
        <v>0</v>
      </c>
      <c r="Y37" s="23">
        <f>IF(Slayer4=TRUE,1.06,1)</f>
        <v>1</v>
      </c>
      <c r="AA37" s="26"/>
      <c r="AB37" s="225"/>
      <c r="AC37" s="225"/>
      <c r="AD37" s="1340"/>
      <c r="AE37" s="122"/>
      <c r="AF37" s="1343"/>
    </row>
    <row r="38" spans="1:32">
      <c r="A38" s="189"/>
      <c r="B38" s="599" t="s">
        <v>1983</v>
      </c>
      <c r="C38" s="1309" t="b">
        <f>MID($R$35,1,1)+MID($R$35,3,1)+MID(R$35,5,1)&gt;=2</f>
        <v>1</v>
      </c>
      <c r="D38" s="600">
        <f>IF($C38,VLOOKUP($B38,GenSocketStats,lookStr,FALSE),0)</f>
        <v>0</v>
      </c>
      <c r="E38" s="600">
        <f>IF($C38,VLOOKUP($B38,GenSocketStats,lookAgi,FALSE),0)</f>
        <v>0</v>
      </c>
      <c r="F38" s="600">
        <f>IF($C38,VLOOKUP($B38,GenSocketStats,lookSta,FALSE),0)</f>
        <v>0</v>
      </c>
      <c r="G38" s="601">
        <f>IF($C38,VLOOKUP($B38,GenSocketStats,lookCrit,FALSE),0)</f>
        <v>0</v>
      </c>
      <c r="H38" s="601">
        <f>IF($C38,VLOOKUP($B38,GenSocketStats,lookHit,FALSE),0)</f>
        <v>8</v>
      </c>
      <c r="I38" s="600">
        <f>IF($C38,VLOOKUP($B38,GenSocketStats,lookAP,FALSE),0)</f>
        <v>0</v>
      </c>
      <c r="J38" s="600">
        <f>IF($C38,VLOOKUP($B38,GenSocketStats,lookRes,FALSE),0)</f>
        <v>0</v>
      </c>
      <c r="K38" s="601">
        <f>IF($C38,VLOOKUP($B38,GenSocketStats,lookDod,FALSE),0)</f>
        <v>0</v>
      </c>
      <c r="L38" s="600">
        <f>IF($C38,VLOOKUP($B38,GenSocketStats,lookExp,FALSE),0)</f>
        <v>0</v>
      </c>
      <c r="M38" s="600"/>
      <c r="N38" s="605"/>
      <c r="O38" s="600"/>
      <c r="P38" s="600">
        <f>IF($C38,VLOOKUP($B38,GenSocketStats,lookHaste,FALSE),0)</f>
        <v>0</v>
      </c>
      <c r="Q38" s="600">
        <f>IF($C38,VLOOKUP($B38,GenSocketStats,lookArmor,FALSE),0)</f>
        <v>0</v>
      </c>
      <c r="R38" s="600" t="str">
        <f>IF($C38,VLOOKUP($B38,GenSocketStats,lookSoc,FALSE),0)</f>
        <v>0 0 1</v>
      </c>
      <c r="S38" s="602">
        <f>IF($C38,VLOOKUP($B38,GenSocketStats,lookSet,FALSE),0)</f>
        <v>0</v>
      </c>
      <c r="U38" s="1422" t="s">
        <v>1123</v>
      </c>
      <c r="V38" s="1423"/>
      <c r="W38" s="1423"/>
      <c r="X38" s="1108" t="b">
        <f>AND($Y$44,COUNTIF($S$10:$S$71,"Twinblade")&gt;=2)</f>
        <v>0</v>
      </c>
      <c r="Y38" s="44"/>
      <c r="Z38" s="201"/>
      <c r="AB38" s="225"/>
      <c r="AC38" s="225"/>
      <c r="AD38" s="1340"/>
      <c r="AE38" s="122"/>
      <c r="AF38" s="1343"/>
    </row>
    <row r="39" spans="1:32" ht="13.5" thickBot="1">
      <c r="A39" s="612" t="s">
        <v>1117</v>
      </c>
      <c r="B39" s="617" t="s">
        <v>1118</v>
      </c>
      <c r="C39" s="1154" t="str">
        <f>VLOOKUP($B39,BackStats,lookSource,FALSE)</f>
        <v>Karazhan</v>
      </c>
      <c r="D39" s="613">
        <f>VLOOKUP($B39,BackStats,lookStr,FALSE)</f>
        <v>0</v>
      </c>
      <c r="E39" s="613">
        <f>VLOOKUP($B39,BackStats,lookAgi,FALSE)</f>
        <v>24</v>
      </c>
      <c r="F39" s="613">
        <f>VLOOKUP($B39,BackStats,lookSta,FALSE)</f>
        <v>21</v>
      </c>
      <c r="G39" s="614">
        <f>VLOOKUP($B39,BackStats,lookCrit,FALSE)</f>
        <v>0</v>
      </c>
      <c r="H39" s="614">
        <f>VLOOKUP($B39,BackStats,lookHit,FALSE)</f>
        <v>17</v>
      </c>
      <c r="I39" s="613">
        <f>VLOOKUP($B39,BackStats,lookAP,FALSE)</f>
        <v>34</v>
      </c>
      <c r="J39" s="615">
        <f>VLOOKUP($B39,BackStats,lookRes,FALSE)</f>
        <v>0</v>
      </c>
      <c r="K39" s="614">
        <f>VLOOKUP($B39,BackStats,lookDod,FALSE)</f>
        <v>0</v>
      </c>
      <c r="L39" s="615">
        <f>VLOOKUP($B39,BackStats,lookExp,FALSE)</f>
        <v>0</v>
      </c>
      <c r="M39" s="615">
        <f>VLOOKUP($B39,BackStats,lookDef,FALSE)</f>
        <v>0</v>
      </c>
      <c r="N39" s="1154"/>
      <c r="O39" s="615"/>
      <c r="P39" s="615">
        <f>VLOOKUP($B39,BackStats,lookHaste,FALSE)</f>
        <v>0</v>
      </c>
      <c r="Q39" s="615">
        <f>VLOOKUP($B39,BackStats,lookArmor,FALSE)</f>
        <v>0</v>
      </c>
      <c r="R39" s="615" t="str">
        <f>VLOOKUP($B39,BackStats,lookSoc,FALSE)</f>
        <v>0 0 0</v>
      </c>
      <c r="S39" s="615">
        <f>VLOOKUP($B39,BackStats,lookSet,FALSE)</f>
        <v>0</v>
      </c>
      <c r="U39" s="1426" t="s">
        <v>962</v>
      </c>
      <c r="V39" s="1427"/>
      <c r="W39" s="1427"/>
      <c r="X39" s="1109" t="b">
        <f>AND($Y$44,COUNTIF($S$10:$S$71,"Latro's")&gt;=2)</f>
        <v>0</v>
      </c>
      <c r="AB39" s="225"/>
      <c r="AC39" s="225"/>
      <c r="AD39" s="1340"/>
      <c r="AE39" s="122"/>
      <c r="AF39" s="1343">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9" t="s">
        <v>1121</v>
      </c>
      <c r="C40" s="1308"/>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5"/>
      <c r="O40" s="39"/>
      <c r="P40" s="39">
        <f>VLOOKUP($B40,BackEnchantStats,lookHaste,FALSE)</f>
        <v>0</v>
      </c>
      <c r="Q40" s="39">
        <f>VLOOKUP($B40,BackEnchantStats,lookArmor,FALSE)</f>
        <v>0</v>
      </c>
      <c r="R40" s="39">
        <f>VLOOKUP($B40,BackEnchantStats,lookSoc,FALSE)</f>
        <v>0</v>
      </c>
      <c r="S40" s="39">
        <f>VLOOKUP($B40,BackEnchantStats,lookSet,FALSE)</f>
        <v>0</v>
      </c>
      <c r="AB40" s="225"/>
      <c r="AC40" s="225"/>
      <c r="AD40" s="1340"/>
      <c r="AE40" s="122"/>
      <c r="AF40" s="1343">
        <f>$D40*dpsStr+$E40*dpsAgi+$G40*dpsCrit+$H40*dpsHit+$I40*dpsAP+$L40*dpsExp+$P40*dpsHaste+$Q40*dpsArmor</f>
        <v>9.9265544320196568</v>
      </c>
    </row>
    <row r="41" spans="1:32">
      <c r="A41" s="604" t="str">
        <f>IF(AC22,"+"&amp;MID(AD22,4,2)&amp;" "&amp;MID(AD22,1,2),MID($R$39,1,1)&amp;" Red "&amp;MID($R$39,3,1)&amp;" Blue "&amp;MID($R$39,5,1)&amp;" Yellow")</f>
        <v>0 Red 0 Blue 0 Yellow</v>
      </c>
      <c r="B41" s="599" t="s">
        <v>303</v>
      </c>
      <c r="C41" s="1309" t="b">
        <f>MID($R$39,1,1)+MID($R$39,3,1)+MID(R$39,5,1)&gt;=1</f>
        <v>0</v>
      </c>
      <c r="D41" s="600">
        <f>IF($C41,VLOOKUP($B41,GenSocketStats,lookStr,FALSE),0)</f>
        <v>0</v>
      </c>
      <c r="E41" s="600">
        <f>IF($C41,VLOOKUP($B41,GenSocketStats,lookAgi,FALSE),0)</f>
        <v>0</v>
      </c>
      <c r="F41" s="600">
        <f>IF($C41,VLOOKUP($B41,GenSocketStats,lookSta,FALSE),0)</f>
        <v>0</v>
      </c>
      <c r="G41" s="601">
        <f>IF($C41,VLOOKUP($B41,GenSocketStats,lookCrit,FALSE),0)</f>
        <v>0</v>
      </c>
      <c r="H41" s="601">
        <f>IF($C41,VLOOKUP($B41,GenSocketStats,lookHit,FALSE),0)</f>
        <v>0</v>
      </c>
      <c r="I41" s="600">
        <f>IF($C41,VLOOKUP($B41,GenSocketStats,lookAP,FALSE),0)</f>
        <v>0</v>
      </c>
      <c r="J41" s="600">
        <f>IF($C41,VLOOKUP($B41,GenSocketStats,lookRes,FALSE),0)</f>
        <v>0</v>
      </c>
      <c r="K41" s="601">
        <f>IF($C41,VLOOKUP($B41,GenSocketStats,lookDod,FALSE),0)</f>
        <v>0</v>
      </c>
      <c r="L41" s="600">
        <f>IF($C41,VLOOKUP($B41,GenSocketStats,lookExp,FALSE),0)</f>
        <v>0</v>
      </c>
      <c r="M41" s="600"/>
      <c r="N41" s="605"/>
      <c r="O41" s="600"/>
      <c r="P41" s="600">
        <f>IF($C41,VLOOKUP($B41,GenSocketStats,lookHaste,FALSE),0)</f>
        <v>0</v>
      </c>
      <c r="Q41" s="600">
        <f>IF($C41,VLOOKUP($B41,GenSocketStats,lookArmor,FALSE),0)</f>
        <v>0</v>
      </c>
      <c r="R41" s="600">
        <f>IF($C41,VLOOKUP($B41,GenSocketStats,lookSoc,FALSE),0)</f>
        <v>0</v>
      </c>
      <c r="S41" s="602">
        <f>IF($C41,VLOOKUP($B41,GenSocketStats,lookSet,FALSE),0)</f>
        <v>0</v>
      </c>
      <c r="U41" s="186"/>
      <c r="V41" s="187"/>
      <c r="W41" s="196" t="s">
        <v>3085</v>
      </c>
      <c r="X41" s="187"/>
      <c r="Y41" s="187"/>
      <c r="Z41" s="187"/>
      <c r="AA41" s="187"/>
      <c r="AB41" s="226"/>
      <c r="AC41" s="227"/>
      <c r="AD41" s="1342"/>
      <c r="AE41" s="122"/>
      <c r="AF41" s="1343"/>
    </row>
    <row r="42" spans="1:32">
      <c r="A42" s="612" t="s">
        <v>1124</v>
      </c>
      <c r="B42" s="618" t="s">
        <v>822</v>
      </c>
      <c r="C42" s="1154" t="str">
        <f>VLOOKUP($B42,ChestStats,lookSource,FALSE)</f>
        <v>Magtheridon</v>
      </c>
      <c r="D42" s="613">
        <f>VLOOKUP($B42,ChestStats,lookStr,FALSE)</f>
        <v>0</v>
      </c>
      <c r="E42" s="613">
        <f>VLOOKUP($B42,ChestStats,lookAgi,FALSE)</f>
        <v>35</v>
      </c>
      <c r="F42" s="613">
        <f>VLOOKUP($B42,ChestStats,lookSta,FALSE)</f>
        <v>39</v>
      </c>
      <c r="G42" s="614">
        <f>VLOOKUP($B42,ChestStats,lookCrit,FALSE)</f>
        <v>0</v>
      </c>
      <c r="H42" s="614">
        <f>VLOOKUP($B42,ChestStats,lookHit,FALSE)</f>
        <v>11</v>
      </c>
      <c r="I42" s="613">
        <f>VLOOKUP($B42,ChestStats,lookAP,FALSE)</f>
        <v>74</v>
      </c>
      <c r="J42" s="615">
        <f>VLOOKUP($B42,ChestStats,lookRes,FALSE)</f>
        <v>0</v>
      </c>
      <c r="K42" s="614">
        <f>VLOOKUP($B42,ChestStats,lookDod,FALSE)</f>
        <v>0</v>
      </c>
      <c r="L42" s="615">
        <f>VLOOKUP($B42,ChestStats,lookExp,FALSE)</f>
        <v>0</v>
      </c>
      <c r="M42" s="615">
        <f>VLOOKUP($B42,ChestStats,lookDef,FALSE)</f>
        <v>0</v>
      </c>
      <c r="N42" s="1154"/>
      <c r="O42" s="615"/>
      <c r="P42" s="615">
        <f>VLOOKUP($B42,ChestStats,lookHaste,FALSE)</f>
        <v>0</v>
      </c>
      <c r="Q42" s="615">
        <f>VLOOKUP($B42,ChestStats,lookArmor,FALSE)</f>
        <v>0</v>
      </c>
      <c r="R42" s="615" t="str">
        <f>VLOOKUP($B42,ChestStats,lookSoc,FALSE)</f>
        <v>1 1 1</v>
      </c>
      <c r="S42" s="615" t="str">
        <f>VLOOKUP($B42,ChestStats,lookSet,FALSE)</f>
        <v>Netherblade</v>
      </c>
      <c r="U42" s="1141">
        <v>0</v>
      </c>
      <c r="V42" s="64" t="s">
        <v>3114</v>
      </c>
      <c r="W42" s="189"/>
      <c r="X42" s="189"/>
      <c r="Y42" s="675"/>
      <c r="Z42" s="675"/>
      <c r="AA42" s="675"/>
      <c r="AB42" s="228"/>
      <c r="AC42" s="374"/>
      <c r="AD42" s="1342"/>
      <c r="AE42" s="122"/>
      <c r="AF42" s="1343">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9" t="s">
        <v>1268</v>
      </c>
      <c r="C43" s="1308"/>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5"/>
      <c r="O43" s="39"/>
      <c r="P43" s="39">
        <f>VLOOKUP($B43,ChestEnchantStats,lookHaste,FALSE)</f>
        <v>0</v>
      </c>
      <c r="Q43" s="39">
        <f>VLOOKUP($B43,ChestEnchantStats,lookArmor,FALSE)</f>
        <v>0</v>
      </c>
      <c r="R43" s="39">
        <f>VLOOKUP($B43,ChestEnchantStats,lookSoc,FALSE)</f>
        <v>0</v>
      </c>
      <c r="S43" s="39">
        <f>VLOOKUP($B43,ChestEnchantStats,lookSet,FALSE)</f>
        <v>0</v>
      </c>
      <c r="U43" s="1130"/>
      <c r="V43" s="64" t="s">
        <v>3245</v>
      </c>
      <c r="W43" s="189"/>
      <c r="X43" s="189"/>
      <c r="Y43" s="189" t="b">
        <v>1</v>
      </c>
      <c r="Z43" s="189"/>
      <c r="AA43" s="189"/>
      <c r="AB43" s="228"/>
      <c r="AC43" s="229"/>
      <c r="AD43" s="1342"/>
      <c r="AE43" s="122"/>
      <c r="AF43" s="1343">
        <f>$D43*dpsStr+$E43*dpsAgi+$G43*dpsCrit+$H43*dpsHit+$I43*dpsAP+$L43*dpsExp+$P43*dpsHaste+$Q43*dpsArmor</f>
        <v>7.3216553866573122</v>
      </c>
    </row>
    <row r="44" spans="1:32">
      <c r="A44" s="604" t="str">
        <f>IF(AC16,"+"&amp;MID(AD16,4,2)&amp;" "&amp;MID(AD16,1,2),MID($R$42,1,1)&amp;" Red "&amp;MID($R$42,3,1)&amp;" Blue "&amp;MID($R$42,5,1)&amp;" Yellow")</f>
        <v>+4 ag</v>
      </c>
      <c r="B44" s="605" t="s">
        <v>1983</v>
      </c>
      <c r="C44" s="1309" t="b">
        <f>MID($R$42,1,1)+MID($R$42,3,1)+MID(R$42,5,1)&gt;=1</f>
        <v>1</v>
      </c>
      <c r="D44" s="600">
        <f>IF($C44,VLOOKUP($B44,GenSocketStats,lookStr,FALSE),0)</f>
        <v>0</v>
      </c>
      <c r="E44" s="600">
        <f>IF($C44,VLOOKUP($B44,GenSocketStats,lookAgi,FALSE),0)</f>
        <v>0</v>
      </c>
      <c r="F44" s="600">
        <f>IF($C44,VLOOKUP($B44,GenSocketStats,lookSta,FALSE),0)</f>
        <v>0</v>
      </c>
      <c r="G44" s="601">
        <f>IF($C44,VLOOKUP($B44,GenSocketStats,lookCrit,FALSE),0)</f>
        <v>0</v>
      </c>
      <c r="H44" s="601">
        <f>IF($C44,VLOOKUP($B44,GenSocketStats,lookHit,FALSE),0)</f>
        <v>8</v>
      </c>
      <c r="I44" s="600">
        <f>IF($C44,VLOOKUP($B44,GenSocketStats,lookAP,FALSE),0)</f>
        <v>0</v>
      </c>
      <c r="J44" s="600">
        <f>IF($C44,VLOOKUP($B44,GenSocketStats,lookRes,FALSE),0)</f>
        <v>0</v>
      </c>
      <c r="K44" s="601">
        <f>IF($C44,VLOOKUP($B44,GenSocketStats,lookDod,FALSE),0)</f>
        <v>0</v>
      </c>
      <c r="L44" s="600">
        <f>IF($C44,VLOOKUP($B44,GenSocketStats,lookExp,FALSE),0)</f>
        <v>0</v>
      </c>
      <c r="M44" s="600"/>
      <c r="N44" s="605"/>
      <c r="O44" s="600"/>
      <c r="P44" s="600">
        <f>IF($C44,VLOOKUP($B44,GenSocketStats,lookHaste,FALSE),0)</f>
        <v>0</v>
      </c>
      <c r="Q44" s="600">
        <f>IF($C44,VLOOKUP($B44,GenSocketStats,lookArmor,FALSE),0)</f>
        <v>0</v>
      </c>
      <c r="R44" s="600" t="str">
        <f>IF($C44,VLOOKUP($B44,GenSocketStats,lookSoc,FALSE),0)</f>
        <v>0 0 1</v>
      </c>
      <c r="S44" s="602">
        <f>IF($C44,VLOOKUP($B44,GenSocketStats,lookSet,FALSE),0)</f>
        <v>0</v>
      </c>
      <c r="U44" s="1130"/>
      <c r="V44" s="64" t="s">
        <v>3116</v>
      </c>
      <c r="W44" s="189"/>
      <c r="X44" s="189"/>
      <c r="Y44" s="189" t="b">
        <v>1</v>
      </c>
      <c r="Z44" s="1125"/>
      <c r="AA44" s="64" t="s">
        <v>3115</v>
      </c>
      <c r="AB44" s="228"/>
      <c r="AC44" s="229" t="b">
        <v>1</v>
      </c>
      <c r="AD44" s="1342"/>
      <c r="AE44" s="122"/>
      <c r="AF44" s="1343"/>
    </row>
    <row r="45" spans="1:32">
      <c r="A45" s="189"/>
      <c r="B45" s="605" t="s">
        <v>1979</v>
      </c>
      <c r="C45" s="1309" t="b">
        <f>MID($R$42,1,1)+MID($R$42,3,1)+MID(R$42,5,1)&gt;=2</f>
        <v>1</v>
      </c>
      <c r="D45" s="600">
        <f>IF($C45,VLOOKUP($B45,GenSocketStats,lookStr,FALSE),0)</f>
        <v>0</v>
      </c>
      <c r="E45" s="600">
        <f>IF($C45,VLOOKUP($B45,GenSocketStats,lookAgi,FALSE),0)</f>
        <v>4</v>
      </c>
      <c r="F45" s="600">
        <f>IF($C45,VLOOKUP($B45,GenSocketStats,lookSta,FALSE),0)</f>
        <v>6</v>
      </c>
      <c r="G45" s="601">
        <f>IF($C45,VLOOKUP($B45,GenSocketStats,lookCrit,FALSE),0)</f>
        <v>0</v>
      </c>
      <c r="H45" s="601">
        <f>IF($C45,VLOOKUP($B45,GenSocketStats,lookHit,FALSE),0)</f>
        <v>0</v>
      </c>
      <c r="I45" s="600">
        <f>IF($C45,VLOOKUP($B45,GenSocketStats,lookAP,FALSE),0)</f>
        <v>0</v>
      </c>
      <c r="J45" s="600">
        <f>IF($C45,VLOOKUP($B45,GenSocketStats,lookRes,FALSE),0)</f>
        <v>0</v>
      </c>
      <c r="K45" s="601">
        <f>IF($C45,VLOOKUP($B45,GenSocketStats,lookDod,FALSE),0)</f>
        <v>0</v>
      </c>
      <c r="L45" s="600">
        <f>IF($C45,VLOOKUP($B45,GenSocketStats,lookExp,FALSE),0)</f>
        <v>0</v>
      </c>
      <c r="M45" s="600"/>
      <c r="N45" s="605"/>
      <c r="O45" s="600"/>
      <c r="P45" s="600">
        <f>IF($C45,VLOOKUP($B45,GenSocketStats,lookHaste,FALSE),0)</f>
        <v>0</v>
      </c>
      <c r="Q45" s="600">
        <f>IF($C45,VLOOKUP($B45,GenSocketStats,lookArmor,FALSE),0)</f>
        <v>0</v>
      </c>
      <c r="R45" s="600" t="str">
        <f>IF($C45,VLOOKUP($B45,GenSocketStats,lookSoc,FALSE),0)</f>
        <v>1 1 0</v>
      </c>
      <c r="S45" s="602">
        <f>IF($C45,VLOOKUP($B45,GenSocketStats,lookSet,FALSE),0)</f>
        <v>0</v>
      </c>
      <c r="U45" s="188"/>
      <c r="V45" s="189"/>
      <c r="W45" s="189"/>
      <c r="X45" s="189"/>
      <c r="Y45" s="189"/>
      <c r="Z45" s="189"/>
      <c r="AA45" s="189"/>
      <c r="AB45" s="228"/>
      <c r="AC45" s="229"/>
      <c r="AD45" s="1342"/>
      <c r="AE45" s="122"/>
      <c r="AF45" s="1343"/>
    </row>
    <row r="46" spans="1:32">
      <c r="A46" s="189"/>
      <c r="B46" s="605" t="s">
        <v>303</v>
      </c>
      <c r="C46" s="1309" t="b">
        <f>MID($R$42,1,1)+MID($R$42,3,1)+MID(R$42,5,1)&gt;=3</f>
        <v>1</v>
      </c>
      <c r="D46" s="600">
        <f>IF($C46,VLOOKUP($B46,GenSocketStats,lookStr,FALSE),0)</f>
        <v>0</v>
      </c>
      <c r="E46" s="600">
        <f>IF($C46,VLOOKUP($B46,GenSocketStats,lookAgi,FALSE),0)</f>
        <v>4</v>
      </c>
      <c r="F46" s="600">
        <f>IF($C46,VLOOKUP($B46,GenSocketStats,lookSta,FALSE),0)</f>
        <v>0</v>
      </c>
      <c r="G46" s="601">
        <f>IF($C46,VLOOKUP($B46,GenSocketStats,lookCrit,FALSE),0)</f>
        <v>0</v>
      </c>
      <c r="H46" s="601">
        <f>IF($C46,VLOOKUP($B46,GenSocketStats,lookHit,FALSE),0)</f>
        <v>4</v>
      </c>
      <c r="I46" s="600">
        <f>IF($C46,VLOOKUP($B46,GenSocketStats,lookAP,FALSE),0)</f>
        <v>0</v>
      </c>
      <c r="J46" s="600">
        <f>IF($C46,VLOOKUP($B46,GenSocketStats,lookRes,FALSE),0)</f>
        <v>0</v>
      </c>
      <c r="K46" s="601">
        <f>IF($C46,VLOOKUP($B46,GenSocketStats,lookDod,FALSE),0)</f>
        <v>0</v>
      </c>
      <c r="L46" s="600">
        <f>IF($C46,VLOOKUP($B46,GenSocketStats,lookExp,FALSE),0)</f>
        <v>0</v>
      </c>
      <c r="M46" s="600"/>
      <c r="N46" s="605"/>
      <c r="O46" s="600"/>
      <c r="P46" s="600">
        <f>IF($C46,VLOOKUP($B46,GenSocketStats,lookHaste,FALSE),0)</f>
        <v>0</v>
      </c>
      <c r="Q46" s="600">
        <f>IF($C46,VLOOKUP($B46,GenSocketStats,lookArmor,FALSE),0)</f>
        <v>0</v>
      </c>
      <c r="R46" s="600" t="str">
        <f>IF($C46,VLOOKUP($B46,GenSocketStats,lookSoc,FALSE),0)</f>
        <v>1 0 1</v>
      </c>
      <c r="S46" s="602">
        <f>IF($C46,VLOOKUP($B46,GenSocketStats,lookSet,FALSE),0)</f>
        <v>0</v>
      </c>
      <c r="U46" s="188"/>
      <c r="V46" s="189"/>
      <c r="W46" s="195" t="s">
        <v>1687</v>
      </c>
      <c r="X46" s="189"/>
      <c r="Y46" s="189"/>
      <c r="Z46" s="189"/>
      <c r="AA46" s="189"/>
      <c r="AB46" s="228"/>
      <c r="AC46" s="229"/>
      <c r="AD46" s="1342"/>
      <c r="AE46" s="122"/>
      <c r="AF46" s="1343"/>
    </row>
    <row r="47" spans="1:32">
      <c r="A47" s="612" t="s">
        <v>1269</v>
      </c>
      <c r="B47" s="618" t="s">
        <v>1301</v>
      </c>
      <c r="C47" s="1154" t="str">
        <f>VLOOKUP($B47,BracersStats,lookSource,FALSE)</f>
        <v>Quest</v>
      </c>
      <c r="D47" s="613">
        <f>VLOOKUP($B47,BracersStats,lookStr,FALSE)</f>
        <v>0</v>
      </c>
      <c r="E47" s="613">
        <f>VLOOKUP($B47,BracersStats,lookAgi,FALSE)</f>
        <v>18</v>
      </c>
      <c r="F47" s="613">
        <f>VLOOKUP($B47,BracersStats,lookSta,FALSE)</f>
        <v>15</v>
      </c>
      <c r="G47" s="614">
        <f>VLOOKUP($B47,BracersStats,lookCrit,FALSE)</f>
        <v>0</v>
      </c>
      <c r="H47" s="614">
        <f>VLOOKUP($B47,BracersStats,lookHit,FALSE)</f>
        <v>15</v>
      </c>
      <c r="I47" s="613">
        <f>VLOOKUP($B47,BracersStats,lookAP,FALSE)</f>
        <v>0</v>
      </c>
      <c r="J47" s="615">
        <f>VLOOKUP($B47,BracersStats,lookRes,FALSE)</f>
        <v>0</v>
      </c>
      <c r="K47" s="614">
        <f>VLOOKUP($B47,BracersStats,lookDod,FALSE)</f>
        <v>0</v>
      </c>
      <c r="L47" s="615">
        <f>VLOOKUP($B47,BracersStats,lookExp,FALSE)</f>
        <v>0</v>
      </c>
      <c r="M47" s="615">
        <f>VLOOKUP($B47,BracersStats,lookDef,FALSE)</f>
        <v>0</v>
      </c>
      <c r="N47" s="1154"/>
      <c r="O47" s="615"/>
      <c r="P47" s="615">
        <f>VLOOKUP($B47,BracersStats,lookHaste,FALSE)</f>
        <v>0</v>
      </c>
      <c r="Q47" s="615">
        <f>VLOOKUP($B47,BracersStats,lookArmor,FALSE)</f>
        <v>0</v>
      </c>
      <c r="R47" s="615" t="str">
        <f>VLOOKUP($B47,BracersStats,lookSoc,FALSE)</f>
        <v>1 0 0</v>
      </c>
      <c r="S47" s="615">
        <f>VLOOKUP($B47,BracersStats,lookSet,FALSE)</f>
        <v>0</v>
      </c>
      <c r="U47" s="194"/>
      <c r="V47" s="191" t="s">
        <v>1690</v>
      </c>
      <c r="W47" s="189"/>
      <c r="X47" s="189"/>
      <c r="Y47" s="1142" t="s">
        <v>2301</v>
      </c>
      <c r="Z47" s="189"/>
      <c r="AA47" s="189"/>
      <c r="AB47" s="228"/>
      <c r="AC47" s="229"/>
      <c r="AD47" s="1342"/>
      <c r="AE47" s="122"/>
      <c r="AF47" s="1343">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9" t="s">
        <v>1271</v>
      </c>
      <c r="C48" s="1308"/>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5"/>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2" t="s">
        <v>2301</v>
      </c>
      <c r="Z48" s="189"/>
      <c r="AA48" s="189"/>
      <c r="AB48" s="228"/>
      <c r="AC48" s="229"/>
      <c r="AD48" s="1342"/>
      <c r="AE48" s="122"/>
      <c r="AF48" s="1343">
        <f>$D48*dpsStr+$E48*dpsAgi+$G48*dpsCrit+$H48*dpsHit+$I48*dpsAP+$L48*dpsExp+$P48*dpsHaste+$Q48*dpsArmor</f>
        <v>8.5759206205239025</v>
      </c>
    </row>
    <row r="49" spans="1:32">
      <c r="A49" s="604" t="str">
        <f>IF(AC17,"+"&amp;MID(AD17,4,2)&amp;" "&amp;MID(AD17,1,2),MID($R$47,1,1)&amp;" Red "&amp;MID($R$47,3,1)&amp;" Blue "&amp;MID($R$47,5,1)&amp;" Yellow")</f>
        <v>1 Red 0 Blue 0 Yellow</v>
      </c>
      <c r="B49" s="599" t="s">
        <v>1983</v>
      </c>
      <c r="C49" s="1309" t="b">
        <f>MID($R$47,1,1)+MID($R$47,3,1)+MID(R$47,5,1)&gt;=1</f>
        <v>1</v>
      </c>
      <c r="D49" s="600">
        <f>IF($C49,VLOOKUP($B49,GenSocketStats,lookStr,FALSE),0)</f>
        <v>0</v>
      </c>
      <c r="E49" s="600">
        <f>IF($C49,VLOOKUP($B49,GenSocketStats,lookAgi,FALSE),0)</f>
        <v>0</v>
      </c>
      <c r="F49" s="600">
        <f>IF($C49,VLOOKUP($B49,GenSocketStats,lookSta,FALSE),0)</f>
        <v>0</v>
      </c>
      <c r="G49" s="601">
        <f>IF($C49,VLOOKUP($B49,GenSocketStats,lookCrit,FALSE),0)</f>
        <v>0</v>
      </c>
      <c r="H49" s="601">
        <f>IF($C49,VLOOKUP($B49,GenSocketStats,lookHit,FALSE),0)</f>
        <v>8</v>
      </c>
      <c r="I49" s="600">
        <f>IF($C49,VLOOKUP($B49,GenSocketStats,lookAP,FALSE),0)</f>
        <v>0</v>
      </c>
      <c r="J49" s="600">
        <f>IF($C49,VLOOKUP($B49,GenSocketStats,lookRes,FALSE),0)</f>
        <v>0</v>
      </c>
      <c r="K49" s="601">
        <f>IF($C49,VLOOKUP($B49,GenSocketStats,lookDod,FALSE),0)</f>
        <v>0</v>
      </c>
      <c r="L49" s="600">
        <f>IF($C49,VLOOKUP($B49,GenSocketStats,lookExp,FALSE),0)</f>
        <v>0</v>
      </c>
      <c r="M49" s="600"/>
      <c r="N49" s="605"/>
      <c r="O49" s="600"/>
      <c r="P49" s="600">
        <f>IF($C49,VLOOKUP($B49,GenSocketStats,lookHaste,FALSE),0)</f>
        <v>0</v>
      </c>
      <c r="Q49" s="600">
        <f>IF($C49,VLOOKUP($B49,GenSocketStats,lookArmor,FALSE),0)</f>
        <v>0</v>
      </c>
      <c r="R49" s="600" t="str">
        <f>IF($C49,VLOOKUP($B49,GenSocketStats,lookSoc,FALSE),0)</f>
        <v>0 0 1</v>
      </c>
      <c r="S49" s="602">
        <f>IF($C49,VLOOKUP($B49,GenSocketStats,lookSet,FALSE),0)</f>
        <v>0</v>
      </c>
      <c r="U49" s="188"/>
      <c r="V49" s="189"/>
      <c r="W49" s="189"/>
      <c r="X49" s="189"/>
      <c r="Y49" s="189"/>
      <c r="Z49" s="189"/>
      <c r="AA49" s="189"/>
      <c r="AB49" s="189"/>
      <c r="AC49" s="190"/>
      <c r="AD49" s="1342"/>
      <c r="AE49" s="122"/>
      <c r="AF49" s="1343"/>
    </row>
    <row r="50" spans="1:32">
      <c r="A50" s="612" t="s">
        <v>2075</v>
      </c>
      <c r="B50" s="618" t="s">
        <v>17</v>
      </c>
      <c r="C50" s="1154" t="str">
        <f>VLOOKUP($B50,GlovesStats,lookSource,FALSE)</f>
        <v>5 Man</v>
      </c>
      <c r="D50" s="613">
        <f>VLOOKUP($B50,GlovesStats,lookStr,FALSE)</f>
        <v>0</v>
      </c>
      <c r="E50" s="613">
        <f>VLOOKUP($B50,GlovesStats,lookAgi,FALSE)</f>
        <v>32</v>
      </c>
      <c r="F50" s="613">
        <f>VLOOKUP($B50,GlovesStats,lookSta,FALSE)</f>
        <v>33</v>
      </c>
      <c r="G50" s="614">
        <f>VLOOKUP($B50,GlovesStats,lookCrit,FALSE)</f>
        <v>0</v>
      </c>
      <c r="H50" s="614">
        <f>VLOOKUP($B50,GlovesStats,lookHit,FALSE)</f>
        <v>0</v>
      </c>
      <c r="I50" s="613">
        <f>VLOOKUP($B50,GlovesStats,lookAP,FALSE)</f>
        <v>16</v>
      </c>
      <c r="J50" s="615">
        <f>VLOOKUP($B50,GlovesStats,lookRes,FALSE)</f>
        <v>0</v>
      </c>
      <c r="K50" s="614">
        <f>VLOOKUP($B50,GlovesStats,lookDod,FALSE)</f>
        <v>0</v>
      </c>
      <c r="L50" s="615">
        <f>VLOOKUP($B50,GlovesStats,lookExp,FALSE)</f>
        <v>0</v>
      </c>
      <c r="M50" s="615">
        <f>VLOOKUP($B50,GlovesStats,lookDef,FALSE)</f>
        <v>0</v>
      </c>
      <c r="N50" s="1154"/>
      <c r="O50" s="615"/>
      <c r="P50" s="615">
        <f>VLOOKUP($B50,GlovesStats,lookHaste,FALSE)</f>
        <v>0</v>
      </c>
      <c r="Q50" s="615">
        <f>VLOOKUP($B50,GlovesStats,lookArmor,FALSE)</f>
        <v>0</v>
      </c>
      <c r="R50" s="615" t="str">
        <f>VLOOKUP($B50,GlovesStats,lookSoc,FALSE)</f>
        <v>1 0 1</v>
      </c>
      <c r="S50" s="615" t="str">
        <f>VLOOKUP($B50,GlovesStats,lookSet,FALSE)</f>
        <v>Wastewalker</v>
      </c>
      <c r="U50" s="188"/>
      <c r="V50" s="191" t="s">
        <v>471</v>
      </c>
      <c r="W50" s="189"/>
      <c r="X50" s="189"/>
      <c r="Y50" s="189"/>
      <c r="Z50" s="1125"/>
      <c r="AA50" s="64" t="s">
        <v>1030</v>
      </c>
      <c r="AB50" s="228"/>
      <c r="AC50" s="229" t="b">
        <v>0</v>
      </c>
      <c r="AD50" s="1342"/>
      <c r="AE50" s="122"/>
      <c r="AF50" s="1343">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9" t="s">
        <v>2077</v>
      </c>
      <c r="C51" s="1308"/>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5"/>
      <c r="O51" s="39"/>
      <c r="P51" s="41">
        <f>VLOOKUP($B51,GloveEnchantStats,lookHaste,FALSE)</f>
        <v>0</v>
      </c>
      <c r="Q51" s="41">
        <f>VLOOKUP($B51,GloveEnchantStats,lookArmor,FALSE)</f>
        <v>0</v>
      </c>
      <c r="R51" s="39">
        <f>VLOOKUP($B51,GloveEnchantStats,lookSoc,FALSE)</f>
        <v>0</v>
      </c>
      <c r="S51" s="39">
        <f>VLOOKUP($B51,GloveEnchantStats,lookSet,FALSE)</f>
        <v>0</v>
      </c>
      <c r="U51" s="1130"/>
      <c r="V51" s="189" t="s">
        <v>466</v>
      </c>
      <c r="W51" s="189"/>
      <c r="X51" s="189"/>
      <c r="Y51" s="64" t="b">
        <v>0</v>
      </c>
      <c r="Z51" s="64" t="s">
        <v>3086</v>
      </c>
      <c r="AA51" s="189"/>
      <c r="AB51" s="228"/>
      <c r="AC51" s="230"/>
      <c r="AD51" s="1342"/>
      <c r="AE51" s="122"/>
      <c r="AF51" s="1343">
        <f>$D51*dpsStr+$E51*dpsAgi+$G51*dpsCrit+$H51*dpsHit+$I51*dpsAP+$L51*dpsExp+$P51*dpsHaste+$Q51*dpsArmor</f>
        <v>12.408193040024571</v>
      </c>
    </row>
    <row r="52" spans="1:32">
      <c r="A52" s="604" t="str">
        <f>IF(AC18,"+"&amp;MID(AD18,4,2)&amp;" "&amp;MID(AD18,1,2),MID($R$50,1,1)&amp;" Red "&amp;MID($R$50,3,1)&amp;" Blue "&amp;MID($R$50,5,1)&amp;" Yellow")</f>
        <v>1 Red 0 Blue 1 Yellow</v>
      </c>
      <c r="B52" s="599" t="s">
        <v>1983</v>
      </c>
      <c r="C52" s="1309" t="b">
        <f>MID($R$50,1,1)+MID($R$50,3,1)+MID(R$50,5,1)&gt;=1</f>
        <v>1</v>
      </c>
      <c r="D52" s="600">
        <f>IF($C52,VLOOKUP($B52,GenSocketStats,lookStr,FALSE),0)</f>
        <v>0</v>
      </c>
      <c r="E52" s="600">
        <f>IF($C52,VLOOKUP($B52,GenSocketStats,lookAgi,FALSE),0)</f>
        <v>0</v>
      </c>
      <c r="F52" s="600">
        <f>IF($C52,VLOOKUP($B52,GenSocketStats,lookSta,FALSE),0)</f>
        <v>0</v>
      </c>
      <c r="G52" s="601">
        <f>IF($C52,VLOOKUP($B52,GenSocketStats,lookCrit,FALSE),0)</f>
        <v>0</v>
      </c>
      <c r="H52" s="601">
        <f>IF($C52,VLOOKUP($B52,GenSocketStats,lookHit,FALSE),0)</f>
        <v>8</v>
      </c>
      <c r="I52" s="600">
        <f>IF($C52,VLOOKUP($B52,GenSocketStats,lookAP,FALSE),0)</f>
        <v>0</v>
      </c>
      <c r="J52" s="600">
        <f>IF($C52,VLOOKUP($B52,GenSocketStats,lookRes,FALSE),0)</f>
        <v>0</v>
      </c>
      <c r="K52" s="601">
        <f>IF($C52,VLOOKUP($B52,GenSocketStats,lookDod,FALSE),0)</f>
        <v>0</v>
      </c>
      <c r="L52" s="600">
        <f>IF($C52,VLOOKUP($B52,GenSocketStats,lookExp,FALSE),0)</f>
        <v>0</v>
      </c>
      <c r="M52" s="600"/>
      <c r="N52" s="605"/>
      <c r="O52" s="600"/>
      <c r="P52" s="600">
        <f>IF($C52,VLOOKUP($B52,GenSocketStats,lookHaste,FALSE),0)</f>
        <v>0</v>
      </c>
      <c r="Q52" s="600">
        <f>IF($C52,VLOOKUP($B52,GenSocketStats,lookArmor,FALSE),0)</f>
        <v>0</v>
      </c>
      <c r="R52" s="600" t="str">
        <f>IF($C52,VLOOKUP($B52,GenSocketStats,lookSoc,FALSE),0)</f>
        <v>0 0 1</v>
      </c>
      <c r="S52" s="602">
        <f>IF($C52,VLOOKUP($B52,GenSocketStats,lookSet,FALSE),0)</f>
        <v>0</v>
      </c>
      <c r="U52" s="1130"/>
      <c r="V52" s="64" t="s">
        <v>1688</v>
      </c>
      <c r="W52" s="189"/>
      <c r="X52" s="189"/>
      <c r="Y52" s="64" t="b">
        <v>0</v>
      </c>
      <c r="Z52" s="197" t="s">
        <v>3087</v>
      </c>
      <c r="AA52" s="189"/>
      <c r="AB52" s="228"/>
      <c r="AC52" s="230"/>
      <c r="AD52" s="1342"/>
      <c r="AE52" s="122"/>
      <c r="AF52" s="1343"/>
    </row>
    <row r="53" spans="1:32">
      <c r="A53" s="189"/>
      <c r="B53" s="599" t="s">
        <v>1983</v>
      </c>
      <c r="C53" s="1309" t="b">
        <f>MID($R$50,1,1)+MID($R$50,3,1)+MID(R$50,5,1)&gt;=2</f>
        <v>1</v>
      </c>
      <c r="D53" s="600">
        <f>IF($C53,VLOOKUP($B53,GenSocketStats,lookStr,FALSE),0)</f>
        <v>0</v>
      </c>
      <c r="E53" s="600">
        <f>IF($C53,VLOOKUP($B53,GenSocketStats,lookAgi,FALSE),0)</f>
        <v>0</v>
      </c>
      <c r="F53" s="600">
        <f>IF($C53,VLOOKUP($B53,GenSocketStats,lookSta,FALSE),0)</f>
        <v>0</v>
      </c>
      <c r="G53" s="601">
        <f>IF($C53,VLOOKUP($B53,GenSocketStats,lookCrit,FALSE),0)</f>
        <v>0</v>
      </c>
      <c r="H53" s="601">
        <f>IF($C53,VLOOKUP($B53,GenSocketStats,lookHit,FALSE),0)</f>
        <v>8</v>
      </c>
      <c r="I53" s="600">
        <f>IF($C53,VLOOKUP($B53,GenSocketStats,lookAP,FALSE),0)</f>
        <v>0</v>
      </c>
      <c r="J53" s="600">
        <f>IF($C53,VLOOKUP($B53,GenSocketStats,lookRes,FALSE),0)</f>
        <v>0</v>
      </c>
      <c r="K53" s="601">
        <f>IF($C53,VLOOKUP($B53,GenSocketStats,lookDod,FALSE),0)</f>
        <v>0</v>
      </c>
      <c r="L53" s="600">
        <f>IF($C53,VLOOKUP($B53,GenSocketStats,lookExp,FALSE),0)</f>
        <v>0</v>
      </c>
      <c r="M53" s="600"/>
      <c r="N53" s="605"/>
      <c r="O53" s="600"/>
      <c r="P53" s="600">
        <f>IF($C53,VLOOKUP($B53,GenSocketStats,lookHaste,FALSE),0)</f>
        <v>0</v>
      </c>
      <c r="Q53" s="600">
        <f>IF($C53,VLOOKUP($B53,GenSocketStats,lookArmor,FALSE),0)</f>
        <v>0</v>
      </c>
      <c r="R53" s="600" t="str">
        <f>IF($C53,VLOOKUP($B53,GenSocketStats,lookSoc,FALSE),0)</f>
        <v>0 0 1</v>
      </c>
      <c r="S53" s="602">
        <f>IF($C53,VLOOKUP($B53,GenSocketStats,lookSet,FALSE),0)</f>
        <v>0</v>
      </c>
      <c r="U53" s="1130"/>
      <c r="V53" s="189" t="s">
        <v>467</v>
      </c>
      <c r="W53" s="189"/>
      <c r="X53" s="189"/>
      <c r="Y53" s="64" t="b">
        <v>0</v>
      </c>
      <c r="Z53" s="189"/>
      <c r="AA53" s="189"/>
      <c r="AB53" s="228"/>
      <c r="AC53" s="230"/>
      <c r="AD53" s="1342"/>
      <c r="AE53" s="122"/>
      <c r="AF53" s="1343"/>
    </row>
    <row r="54" spans="1:32">
      <c r="A54" s="612" t="s">
        <v>2078</v>
      </c>
      <c r="B54" s="617" t="s">
        <v>1532</v>
      </c>
      <c r="C54" s="1154" t="str">
        <f>VLOOKUP($B54,BeltStats,lookSource,FALSE)</f>
        <v>Heroic</v>
      </c>
      <c r="D54" s="613">
        <f>VLOOKUP($B54,BeltStats,lookStr,FALSE)</f>
        <v>0</v>
      </c>
      <c r="E54" s="613">
        <f>VLOOKUP($B54,BeltStats,lookAgi,FALSE)</f>
        <v>28</v>
      </c>
      <c r="F54" s="613">
        <f>VLOOKUP($B54,BeltStats,lookSta,FALSE)</f>
        <v>28</v>
      </c>
      <c r="G54" s="614">
        <f>VLOOKUP($B54,BeltStats,lookCrit,FALSE)</f>
        <v>0</v>
      </c>
      <c r="H54" s="614">
        <f>VLOOKUP($B54,BeltStats,lookHit,FALSE)</f>
        <v>20</v>
      </c>
      <c r="I54" s="613">
        <f>VLOOKUP($B54,BeltStats,lookAP,FALSE)</f>
        <v>56</v>
      </c>
      <c r="J54" s="615">
        <f>VLOOKUP($B54,BeltStats,lookRes,FALSE)</f>
        <v>0</v>
      </c>
      <c r="K54" s="614">
        <f>VLOOKUP($B54,BeltStats,lookDod,FALSE)</f>
        <v>0</v>
      </c>
      <c r="L54" s="615">
        <f>VLOOKUP($B54,BeltStats,lookExp,FALSE)</f>
        <v>0</v>
      </c>
      <c r="M54" s="615">
        <f>VLOOKUP($B54,BeltStats,lookDef,FALSE)</f>
        <v>0</v>
      </c>
      <c r="N54" s="1154"/>
      <c r="O54" s="615"/>
      <c r="P54" s="615">
        <f>VLOOKUP($B54,BeltStats,lookHaste,FALSE)</f>
        <v>0</v>
      </c>
      <c r="Q54" s="615">
        <f>VLOOKUP($B54,BeltStats,lookArmor,FALSE)</f>
        <v>0</v>
      </c>
      <c r="R54" s="615" t="str">
        <f>VLOOKUP($B54,BeltStats,lookSoc,FALSE)</f>
        <v>0 0 0</v>
      </c>
      <c r="S54" s="615">
        <f>VLOOKUP($B54,BeltStats,lookSet,FALSE)</f>
        <v>0</v>
      </c>
      <c r="U54" s="1130"/>
      <c r="V54" s="64" t="s">
        <v>688</v>
      </c>
      <c r="W54" s="189"/>
      <c r="X54" s="189"/>
      <c r="Y54" s="64" t="b">
        <v>0</v>
      </c>
      <c r="Z54" s="189"/>
      <c r="AA54" s="189"/>
      <c r="AB54" s="228"/>
      <c r="AC54" s="230"/>
      <c r="AD54" s="1342"/>
      <c r="AE54" s="122"/>
      <c r="AF54" s="1343">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4" t="str">
        <f>IF(AC19,"+"&amp;MID(AD19,4,2)&amp;" "&amp;MID(AD19,1,2),MID($R$54,1,1)&amp;" Red "&amp;MID($R$54,3,1)&amp;" Blue "&amp;MID($R$54,5,1)&amp;" Yellow")</f>
        <v>0 Red 0 Blue 0 Yellow</v>
      </c>
      <c r="B55" s="599" t="s">
        <v>303</v>
      </c>
      <c r="C55" s="1309" t="b">
        <f>MID($R$54,1,1)+MID($R$54,3,1)+MID(R$54,5,1)&gt;=1</f>
        <v>0</v>
      </c>
      <c r="D55" s="600">
        <f>IF($C55,VLOOKUP($B55,GenSocketStats,lookStr,FALSE),0)</f>
        <v>0</v>
      </c>
      <c r="E55" s="600">
        <f>IF($C55,VLOOKUP($B55,GenSocketStats,lookAgi,FALSE),0)</f>
        <v>0</v>
      </c>
      <c r="F55" s="600">
        <f>IF($C55,VLOOKUP($B55,GenSocketStats,lookSta,FALSE),0)</f>
        <v>0</v>
      </c>
      <c r="G55" s="601">
        <f>IF($C55,VLOOKUP($B55,GenSocketStats,lookCrit,FALSE),0)</f>
        <v>0</v>
      </c>
      <c r="H55" s="601">
        <f>IF($C55,VLOOKUP($B55,GenSocketStats,lookHit,FALSE),0)</f>
        <v>0</v>
      </c>
      <c r="I55" s="600">
        <f>IF($C55,VLOOKUP($B55,GenSocketStats,lookAP,FALSE),0)</f>
        <v>0</v>
      </c>
      <c r="J55" s="600">
        <f>IF($C55,VLOOKUP($B55,GenSocketStats,lookRes,FALSE),0)</f>
        <v>0</v>
      </c>
      <c r="K55" s="601">
        <f>IF($C55,VLOOKUP($B55,GenSocketStats,lookDod,FALSE),0)</f>
        <v>0</v>
      </c>
      <c r="L55" s="600">
        <f>IF($C55,VLOOKUP($B55,GenSocketStats,lookExp,FALSE),0)</f>
        <v>0</v>
      </c>
      <c r="M55" s="600"/>
      <c r="N55" s="605"/>
      <c r="O55" s="600"/>
      <c r="P55" s="600">
        <f>IF($C55,VLOOKUP($B55,GenSocketStats,lookHaste,FALSE),0)</f>
        <v>0</v>
      </c>
      <c r="Q55" s="600">
        <f>IF($C55,VLOOKUP($B55,GenSocketStats,lookArmor,FALSE),0)</f>
        <v>0</v>
      </c>
      <c r="R55" s="600">
        <f>IF($C55,VLOOKUP($B55,GenSocketStats,lookSoc,FALSE),0)</f>
        <v>0</v>
      </c>
      <c r="S55" s="602">
        <f>IF($C55,VLOOKUP($B55,GenSocketStats,lookSet,FALSE),0)</f>
        <v>0</v>
      </c>
      <c r="U55" s="1130"/>
      <c r="V55" s="197" t="s">
        <v>806</v>
      </c>
      <c r="W55" s="189"/>
      <c r="X55" s="189"/>
      <c r="Y55" s="64" t="b">
        <v>0</v>
      </c>
      <c r="Z55" s="1125"/>
      <c r="AA55" s="64" t="s">
        <v>920</v>
      </c>
      <c r="AB55" s="228"/>
      <c r="AC55" s="230" t="b">
        <v>0</v>
      </c>
      <c r="AD55" s="1342"/>
      <c r="AE55" s="122"/>
      <c r="AF55" s="1343"/>
    </row>
    <row r="56" spans="1:32">
      <c r="A56" s="189"/>
      <c r="B56" s="599" t="s">
        <v>303</v>
      </c>
      <c r="C56" s="1309" t="b">
        <f>MID($R$54,1,1)+MID($R$54,3,1)+MID(R$54,5,1)&gt;=2</f>
        <v>0</v>
      </c>
      <c r="D56" s="600">
        <f>IF($C56,VLOOKUP($B56,GenSocketStats,lookStr,FALSE),0)</f>
        <v>0</v>
      </c>
      <c r="E56" s="600">
        <f>IF($C56,VLOOKUP($B56,GenSocketStats,lookAgi,FALSE),0)</f>
        <v>0</v>
      </c>
      <c r="F56" s="600">
        <f>IF($C56,VLOOKUP($B56,GenSocketStats,lookSta,FALSE),0)</f>
        <v>0</v>
      </c>
      <c r="G56" s="601">
        <f>IF($C56,VLOOKUP($B56,GenSocketStats,lookCrit,FALSE),0)</f>
        <v>0</v>
      </c>
      <c r="H56" s="601">
        <f>IF($C56,VLOOKUP($B56,GenSocketStats,lookHit,FALSE),0)</f>
        <v>0</v>
      </c>
      <c r="I56" s="600">
        <f>IF($C56,VLOOKUP($B56,GenSocketStats,lookAP,FALSE),0)</f>
        <v>0</v>
      </c>
      <c r="J56" s="600">
        <f>IF($C56,VLOOKUP($B56,GenSocketStats,lookRes,FALSE),0)</f>
        <v>0</v>
      </c>
      <c r="K56" s="601">
        <f>IF($C56,VLOOKUP($B56,GenSocketStats,lookDod,FALSE),0)</f>
        <v>0</v>
      </c>
      <c r="L56" s="600">
        <f>IF($C56,VLOOKUP($B56,GenSocketStats,lookExp,FALSE),0)</f>
        <v>0</v>
      </c>
      <c r="M56" s="600"/>
      <c r="N56" s="605"/>
      <c r="O56" s="600"/>
      <c r="P56" s="600">
        <f>IF($C56,VLOOKUP($B56,GenSocketStats,lookHaste,FALSE),0)</f>
        <v>0</v>
      </c>
      <c r="Q56" s="600">
        <f>IF($C56,VLOOKUP($B56,GenSocketStats,lookArmor,FALSE),0)</f>
        <v>0</v>
      </c>
      <c r="R56" s="600">
        <f>IF($C56,VLOOKUP($B56,GenSocketStats,lookSoc,FALSE),0)</f>
        <v>0</v>
      </c>
      <c r="S56" s="602">
        <f>IF($C56,VLOOKUP($B56,GenSocketStats,lookSet,FALSE),0)</f>
        <v>0</v>
      </c>
      <c r="U56" s="1130"/>
      <c r="V56" s="197" t="s">
        <v>439</v>
      </c>
      <c r="W56" s="189"/>
      <c r="X56" s="189"/>
      <c r="Y56" s="189" t="b">
        <v>0</v>
      </c>
      <c r="Z56" s="189"/>
      <c r="AA56" s="189"/>
      <c r="AB56" s="228"/>
      <c r="AC56" s="230"/>
      <c r="AD56" s="1342"/>
      <c r="AE56" s="122"/>
      <c r="AF56" s="1343"/>
    </row>
    <row r="57" spans="1:32">
      <c r="A57" s="612" t="s">
        <v>2080</v>
      </c>
      <c r="B57" s="617" t="s">
        <v>2081</v>
      </c>
      <c r="C57" s="1154" t="str">
        <f>VLOOKUP($B57,LegsStats,lookSource,FALSE)</f>
        <v>Karazhan</v>
      </c>
      <c r="D57" s="613">
        <f>VLOOKUP($B57,LegsStats,lookStr,FALSE)</f>
        <v>0</v>
      </c>
      <c r="E57" s="613">
        <f>VLOOKUP($B57,LegsStats,lookAgi,FALSE)</f>
        <v>32</v>
      </c>
      <c r="F57" s="613">
        <f>VLOOKUP($B57,LegsStats,lookSta,FALSE)</f>
        <v>28</v>
      </c>
      <c r="G57" s="614">
        <f>VLOOKUP($B57,LegsStats,lookCrit,FALSE)</f>
        <v>0</v>
      </c>
      <c r="H57" s="614">
        <f>VLOOKUP($B57,LegsStats,lookHit,FALSE)</f>
        <v>28</v>
      </c>
      <c r="I57" s="613">
        <f>VLOOKUP($B57,LegsStats,lookAP,FALSE)</f>
        <v>64</v>
      </c>
      <c r="J57" s="615">
        <f>VLOOKUP($B57,LegsStats,lookRes,FALSE)</f>
        <v>0</v>
      </c>
      <c r="K57" s="614">
        <f>VLOOKUP($B57,LegsStats,lookDod,FALSE)</f>
        <v>0</v>
      </c>
      <c r="L57" s="615">
        <f>VLOOKUP($B57,LegsStats,lookExp,FALSE)</f>
        <v>0</v>
      </c>
      <c r="M57" s="615">
        <f>VLOOKUP($B57,LegsStats,lookDef,FALSE)</f>
        <v>0</v>
      </c>
      <c r="N57" s="1154"/>
      <c r="O57" s="615"/>
      <c r="P57" s="615">
        <f>VLOOKUP($B57,LegsStats,lookHaste,FALSE)</f>
        <v>0</v>
      </c>
      <c r="Q57" s="615">
        <f>VLOOKUP($B57,LegsStats,lookArmor,FALSE)</f>
        <v>0</v>
      </c>
      <c r="R57" s="615" t="str">
        <f>VLOOKUP($B57,LegsStats,lookSoc,FALSE)</f>
        <v>2 1 0</v>
      </c>
      <c r="S57" s="615">
        <f>VLOOKUP($B57,LegsStats,lookSet,FALSE)</f>
        <v>0</v>
      </c>
      <c r="U57" s="188"/>
      <c r="V57" s="189"/>
      <c r="W57" s="189"/>
      <c r="X57" s="189"/>
      <c r="Y57" s="189"/>
      <c r="Z57" s="189"/>
      <c r="AA57" s="189"/>
      <c r="AB57" s="228"/>
      <c r="AC57" s="230"/>
      <c r="AD57" s="1342"/>
      <c r="AE57" s="122"/>
      <c r="AF57" s="1343">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9" t="s">
        <v>1342</v>
      </c>
      <c r="C58" s="1308"/>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5"/>
      <c r="O58" s="39"/>
      <c r="P58" s="41">
        <f>VLOOKUP($B58,LegEnchantStats,lookHaste,FALSE)</f>
        <v>0</v>
      </c>
      <c r="Q58" s="41">
        <f>VLOOKUP($B58,LegEnchantStats,lookArmor,FALSE)</f>
        <v>0</v>
      </c>
      <c r="R58" s="39">
        <f>VLOOKUP($B58,LegEnchantStats,lookSoc,FALSE)</f>
        <v>0</v>
      </c>
      <c r="S58" s="39">
        <f>VLOOKUP($B58,LegEnchantStats,lookSet,FALSE)</f>
        <v>0</v>
      </c>
      <c r="U58" s="1130"/>
      <c r="V58" s="191" t="s">
        <v>473</v>
      </c>
      <c r="W58" s="189"/>
      <c r="X58" s="189"/>
      <c r="Y58" s="64" t="b">
        <v>1</v>
      </c>
      <c r="Z58" s="189"/>
      <c r="AA58" s="189"/>
      <c r="AB58" s="228"/>
      <c r="AC58" s="230"/>
      <c r="AD58" s="1342"/>
      <c r="AE58" s="122"/>
      <c r="AF58" s="1343">
        <f>$D58*dpsStr+$E58*dpsAgi+$G58*dpsCrit+$H58*dpsHit+$I58*dpsAP+$L58*dpsExp+$P58*dpsHaste+$Q58*dpsArmor</f>
        <v>26.096056958871941</v>
      </c>
    </row>
    <row r="59" spans="1:32">
      <c r="A59" s="604" t="str">
        <f>IF(AC20,"+"&amp;MID(AD20,4,2)&amp;" "&amp;MID(AD20,1,2),MID($R$57,1,1)&amp;" Red "&amp;MID($R$57,3,1)&amp;" Blue "&amp;MID($R$57,5,1)&amp;" Yellow")</f>
        <v>2 Red 1 Blue 0 Yellow</v>
      </c>
      <c r="B59" s="599" t="s">
        <v>1983</v>
      </c>
      <c r="C59" s="1309" t="b">
        <f>MID($R$57,1,1)+MID($R$57,3,1)+MID(R$57,5,1)&gt;=1</f>
        <v>1</v>
      </c>
      <c r="D59" s="600">
        <f>IF($C59,VLOOKUP($B59,GenSocketStats,lookStr,FALSE),0)</f>
        <v>0</v>
      </c>
      <c r="E59" s="600">
        <f>IF($C59,VLOOKUP($B59,GenSocketStats,lookAgi,FALSE),0)</f>
        <v>0</v>
      </c>
      <c r="F59" s="600">
        <f>IF($C59,VLOOKUP($B59,GenSocketStats,lookSta,FALSE),0)</f>
        <v>0</v>
      </c>
      <c r="G59" s="601">
        <f>IF($C59,VLOOKUP($B59,GenSocketStats,lookCrit,FALSE),0)</f>
        <v>0</v>
      </c>
      <c r="H59" s="601">
        <f>IF($C59,VLOOKUP($B59,GenSocketStats,lookHit,FALSE),0)</f>
        <v>8</v>
      </c>
      <c r="I59" s="600">
        <f>IF($C59,VLOOKUP($B59,GenSocketStats,lookAP,FALSE),0)</f>
        <v>0</v>
      </c>
      <c r="J59" s="600">
        <f>IF($C59,VLOOKUP($B59,GenSocketStats,lookRes,FALSE),0)</f>
        <v>0</v>
      </c>
      <c r="K59" s="601">
        <f>IF($C59,VLOOKUP($B59,GenSocketStats,lookDod,FALSE),0)</f>
        <v>0</v>
      </c>
      <c r="L59" s="600">
        <f>IF($C59,VLOOKUP($B59,GenSocketStats,lookExp,FALSE),0)</f>
        <v>0</v>
      </c>
      <c r="M59" s="600"/>
      <c r="N59" s="605"/>
      <c r="O59" s="600"/>
      <c r="P59" s="600">
        <f>IF($C59,VLOOKUP($B59,GenSocketStats,lookHaste,FALSE),0)</f>
        <v>0</v>
      </c>
      <c r="Q59" s="600">
        <f>IF($C59,VLOOKUP($B59,GenSocketStats,lookArmor,FALSE),0)</f>
        <v>0</v>
      </c>
      <c r="R59" s="600" t="str">
        <f>IF($C59,VLOOKUP($B59,GenSocketStats,lookSoc,FALSE),0)</f>
        <v>0 0 1</v>
      </c>
      <c r="S59" s="602">
        <f>IF($C59,VLOOKUP($B59,GenSocketStats,lookSet,FALSE),0)</f>
        <v>0</v>
      </c>
      <c r="U59" s="1130"/>
      <c r="V59" s="191" t="s">
        <v>472</v>
      </c>
      <c r="W59" s="189"/>
      <c r="X59" s="189"/>
      <c r="Y59" s="64" t="b">
        <v>1</v>
      </c>
      <c r="Z59" s="189"/>
      <c r="AA59" s="189"/>
      <c r="AB59" s="189"/>
      <c r="AC59" s="190"/>
      <c r="AD59" s="1342"/>
      <c r="AE59" s="1342"/>
      <c r="AF59" s="1344"/>
    </row>
    <row r="60" spans="1:32">
      <c r="A60" s="189"/>
      <c r="B60" s="599" t="s">
        <v>1983</v>
      </c>
      <c r="C60" s="1309" t="b">
        <f>MID($R$57,1,1)+MID($R$57,3,1)+MID(R$57,5,1)&gt;=2</f>
        <v>1</v>
      </c>
      <c r="D60" s="600">
        <f>IF($C60,VLOOKUP($B60,GenSocketStats,lookStr,FALSE),0)</f>
        <v>0</v>
      </c>
      <c r="E60" s="600">
        <f>IF($C60,VLOOKUP($B60,GenSocketStats,lookAgi,FALSE),0)</f>
        <v>0</v>
      </c>
      <c r="F60" s="600">
        <f>IF($C60,VLOOKUP($B60,GenSocketStats,lookSta,FALSE),0)</f>
        <v>0</v>
      </c>
      <c r="G60" s="601">
        <f>IF($C60,VLOOKUP($B60,GenSocketStats,lookCrit,FALSE),0)</f>
        <v>0</v>
      </c>
      <c r="H60" s="601">
        <f>IF($C60,VLOOKUP($B60,GenSocketStats,lookHit,FALSE),0)</f>
        <v>8</v>
      </c>
      <c r="I60" s="600">
        <f>IF($C60,VLOOKUP($B60,GenSocketStats,lookAP,FALSE),0)</f>
        <v>0</v>
      </c>
      <c r="J60" s="600">
        <f>IF($C60,VLOOKUP($B60,GenSocketStats,lookRes,FALSE),0)</f>
        <v>0</v>
      </c>
      <c r="K60" s="601">
        <f>IF($C60,VLOOKUP($B60,GenSocketStats,lookDod,FALSE),0)</f>
        <v>0</v>
      </c>
      <c r="L60" s="600">
        <f>IF($C60,VLOOKUP($B60,GenSocketStats,lookExp,FALSE),0)</f>
        <v>0</v>
      </c>
      <c r="M60" s="600"/>
      <c r="N60" s="605"/>
      <c r="O60" s="600"/>
      <c r="P60" s="600">
        <f>IF($C60,VLOOKUP($B60,GenSocketStats,lookHaste,FALSE),0)</f>
        <v>0</v>
      </c>
      <c r="Q60" s="600">
        <f>IF($C60,VLOOKUP($B60,GenSocketStats,lookArmor,FALSE),0)</f>
        <v>0</v>
      </c>
      <c r="R60" s="600" t="str">
        <f>IF($C60,VLOOKUP($B60,GenSocketStats,lookSoc,FALSE),0)</f>
        <v>0 0 1</v>
      </c>
      <c r="S60" s="602">
        <f>IF($C60,VLOOKUP($B60,GenSocketStats,lookSet,FALSE),0)</f>
        <v>0</v>
      </c>
      <c r="U60" s="1130"/>
      <c r="V60" s="191" t="s">
        <v>468</v>
      </c>
      <c r="W60" s="189"/>
      <c r="X60" s="189"/>
      <c r="Y60" s="64" t="b">
        <v>1</v>
      </c>
      <c r="Z60" s="189"/>
      <c r="AA60" s="191" t="s">
        <v>469</v>
      </c>
      <c r="AB60" s="189"/>
      <c r="AC60" s="190"/>
      <c r="AD60" s="1342"/>
      <c r="AE60" s="1342"/>
      <c r="AF60" s="1344"/>
    </row>
    <row r="61" spans="1:32">
      <c r="A61" s="189"/>
      <c r="B61" s="599" t="s">
        <v>1983</v>
      </c>
      <c r="C61" s="1309" t="b">
        <f>MID($R$57,1,1)+MID($R$57,3,1)+MID(R$57,5,1)&gt;=3</f>
        <v>1</v>
      </c>
      <c r="D61" s="600">
        <f>IF($C61,VLOOKUP($B61,GenSocketStats,lookStr,FALSE),0)</f>
        <v>0</v>
      </c>
      <c r="E61" s="600">
        <f>IF($C61,VLOOKUP($B61,GenSocketStats,lookAgi,FALSE),0)</f>
        <v>0</v>
      </c>
      <c r="F61" s="600">
        <f>IF($C61,VLOOKUP($B61,GenSocketStats,lookSta,FALSE),0)</f>
        <v>0</v>
      </c>
      <c r="G61" s="601">
        <f>IF($C61,VLOOKUP($B61,GenSocketStats,lookCrit,FALSE),0)</f>
        <v>0</v>
      </c>
      <c r="H61" s="601">
        <f>IF($C61,VLOOKUP($B61,GenSocketStats,lookHit,FALSE),0)</f>
        <v>8</v>
      </c>
      <c r="I61" s="600">
        <f>IF($C61,VLOOKUP($B61,GenSocketStats,lookAP,FALSE),0)</f>
        <v>0</v>
      </c>
      <c r="J61" s="600">
        <f>IF($C61,VLOOKUP($B61,GenSocketStats,lookRes,FALSE),0)</f>
        <v>0</v>
      </c>
      <c r="K61" s="601">
        <f>IF($C61,VLOOKUP($B61,GenSocketStats,lookDod,FALSE),0)</f>
        <v>0</v>
      </c>
      <c r="L61" s="600">
        <f>IF($C61,VLOOKUP($B61,GenSocketStats,lookExp,FALSE),0)</f>
        <v>0</v>
      </c>
      <c r="M61" s="600"/>
      <c r="N61" s="605"/>
      <c r="O61" s="600"/>
      <c r="P61" s="600">
        <f>IF($C61,VLOOKUP($B61,GenSocketStats,lookHaste,FALSE),0)</f>
        <v>0</v>
      </c>
      <c r="Q61" s="600">
        <f>IF($C61,VLOOKUP($B61,GenSocketStats,lookArmor,FALSE),0)</f>
        <v>0</v>
      </c>
      <c r="R61" s="600" t="str">
        <f>IF($C61,VLOOKUP($B61,GenSocketStats,lookSoc,FALSE),0)</f>
        <v>0 0 1</v>
      </c>
      <c r="S61" s="602">
        <f>IF($C61,VLOOKUP($B61,GenSocketStats,lookSet,FALSE),0)</f>
        <v>0</v>
      </c>
      <c r="U61" s="1130"/>
      <c r="V61" s="191" t="s">
        <v>3088</v>
      </c>
      <c r="W61" s="189"/>
      <c r="X61" s="189"/>
      <c r="Y61" s="64" t="b">
        <v>1</v>
      </c>
      <c r="Z61" s="1125"/>
      <c r="AA61" s="27" t="s">
        <v>673</v>
      </c>
      <c r="AB61" s="189"/>
      <c r="AC61" s="504" t="b">
        <v>1</v>
      </c>
      <c r="AD61" s="122"/>
      <c r="AE61" s="122"/>
      <c r="AF61" s="1343"/>
    </row>
    <row r="62" spans="1:32">
      <c r="A62" s="612" t="s">
        <v>1415</v>
      </c>
      <c r="B62" s="617" t="s">
        <v>255</v>
      </c>
      <c r="C62" s="1154" t="str">
        <f>VLOOKUP($B62,BootsStats,lookSource,FALSE)</f>
        <v>Karazhan</v>
      </c>
      <c r="D62" s="613">
        <f>VLOOKUP($B62,BootsStats,lookStr,FALSE)</f>
        <v>0</v>
      </c>
      <c r="E62" s="613">
        <f>VLOOKUP($B62,BootsStats,lookAgi,FALSE)</f>
        <v>29</v>
      </c>
      <c r="F62" s="613">
        <f>VLOOKUP($B62,BootsStats,lookSta,FALSE)</f>
        <v>28</v>
      </c>
      <c r="G62" s="614">
        <f>VLOOKUP($B62,BootsStats,lookCrit,FALSE)</f>
        <v>0</v>
      </c>
      <c r="H62" s="614">
        <f>VLOOKUP($B62,BootsStats,lookHit,FALSE)</f>
        <v>13</v>
      </c>
      <c r="I62" s="613">
        <f>VLOOKUP($B62,BootsStats,lookAP,FALSE)</f>
        <v>44</v>
      </c>
      <c r="J62" s="615">
        <f>VLOOKUP($B62,BootsStats,lookRes,FALSE)</f>
        <v>0</v>
      </c>
      <c r="K62" s="614">
        <f>VLOOKUP($B62,BootsStats,lookDod,FALSE)</f>
        <v>0</v>
      </c>
      <c r="L62" s="615">
        <f>VLOOKUP($B62,BootsStats,lookExp,FALSE)</f>
        <v>0</v>
      </c>
      <c r="M62" s="615">
        <f>VLOOKUP($B62,BootsStats,lookDef,FALSE)</f>
        <v>0</v>
      </c>
      <c r="N62" s="1154"/>
      <c r="O62" s="615"/>
      <c r="P62" s="615">
        <f>VLOOKUP($B62,BootsStats,lookHaste,FALSE)</f>
        <v>0</v>
      </c>
      <c r="Q62" s="615">
        <f>VLOOKUP($B62,BootsStats,lookArmor,FALSE)</f>
        <v>0</v>
      </c>
      <c r="R62" s="615" t="str">
        <f>VLOOKUP($B62,BootsStats,lookSoc,FALSE)</f>
        <v>1 0 1</v>
      </c>
      <c r="S62" s="615">
        <f>VLOOKUP($B62,BootsStats,lookSet,FALSE)</f>
        <v>0</v>
      </c>
      <c r="U62" s="1130"/>
      <c r="V62" s="191" t="s">
        <v>676</v>
      </c>
      <c r="W62" s="189"/>
      <c r="X62" s="189"/>
      <c r="Y62" s="64" t="b">
        <v>1</v>
      </c>
      <c r="Z62" s="1125"/>
      <c r="AA62" s="27" t="s">
        <v>691</v>
      </c>
      <c r="AB62" s="189"/>
      <c r="AC62" s="504" t="b">
        <v>1</v>
      </c>
      <c r="AD62" s="122"/>
      <c r="AE62" s="122"/>
      <c r="AF62" s="1343">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9" t="s">
        <v>257</v>
      </c>
      <c r="C63" s="1308"/>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5"/>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5"/>
      <c r="AA63" s="64" t="s">
        <v>672</v>
      </c>
      <c r="AB63" s="189"/>
      <c r="AC63" s="504" t="b">
        <v>1</v>
      </c>
      <c r="AD63" s="122"/>
      <c r="AE63" s="122"/>
      <c r="AF63" s="1343">
        <f>$D63*dpsStr+$E63*dpsAgi+$G63*dpsCrit+$H63*dpsHit+$I63*dpsAP+$L63*dpsExp+$P63*dpsHaste+$Q63*dpsArmor</f>
        <v>9.9265544320196568</v>
      </c>
    </row>
    <row r="64" spans="1:32">
      <c r="A64" s="604" t="str">
        <f>IF(AC21,"+"&amp;MID(AD21,4,2)&amp;" "&amp;MID(AD21,1,2),MID($R$62,1,1)&amp;" Red "&amp;MID($R$62,3,1)&amp;" Blue "&amp;MID($R$62,5,1)&amp;" Yellow")</f>
        <v>+3 ht</v>
      </c>
      <c r="B64" s="599" t="s">
        <v>1983</v>
      </c>
      <c r="C64" s="1309" t="b">
        <f>MID($R$62,1,1)+MID($R$62,3,1)+MID(R$62,5,1)&gt;=1</f>
        <v>1</v>
      </c>
      <c r="D64" s="600">
        <f>IF($C64,VLOOKUP($B64,GenSocketStats,lookStr,FALSE),0)</f>
        <v>0</v>
      </c>
      <c r="E64" s="600">
        <f>IF($C64,VLOOKUP($B64,GenSocketStats,lookAgi,FALSE),0)</f>
        <v>0</v>
      </c>
      <c r="F64" s="600">
        <f>IF($C64,VLOOKUP($B64,GenSocketStats,lookSta,FALSE),0)</f>
        <v>0</v>
      </c>
      <c r="G64" s="601">
        <f>IF($C64,VLOOKUP($B64,GenSocketStats,lookCrit,FALSE),0)</f>
        <v>0</v>
      </c>
      <c r="H64" s="601">
        <f>IF($C64,VLOOKUP($B64,GenSocketStats,lookHit,FALSE),0)</f>
        <v>8</v>
      </c>
      <c r="I64" s="600">
        <f>IF($C64,VLOOKUP($B64,GenSocketStats,lookAP,FALSE),0)</f>
        <v>0</v>
      </c>
      <c r="J64" s="600">
        <f>IF($C64,VLOOKUP($B64,GenSocketStats,lookRes,FALSE),0)</f>
        <v>0</v>
      </c>
      <c r="K64" s="601">
        <f>IF($C64,VLOOKUP($B64,GenSocketStats,lookDod,FALSE),0)</f>
        <v>0</v>
      </c>
      <c r="L64" s="600">
        <f>IF($C64,VLOOKUP($B64,GenSocketStats,lookExp,FALSE),0)</f>
        <v>0</v>
      </c>
      <c r="M64" s="600"/>
      <c r="N64" s="605"/>
      <c r="O64" s="600"/>
      <c r="P64" s="600">
        <f>IF($C64,VLOOKUP($B64,GenSocketStats,lookHaste,FALSE),0)</f>
        <v>0</v>
      </c>
      <c r="Q64" s="600">
        <f>IF($C64,VLOOKUP($B64,GenSocketStats,lookArmor,FALSE),0)</f>
        <v>0</v>
      </c>
      <c r="R64" s="600" t="str">
        <f>IF($C64,VLOOKUP($B64,GenSocketStats,lookSoc,FALSE),0)</f>
        <v>0 0 1</v>
      </c>
      <c r="S64" s="602">
        <f>IF($C64,VLOOKUP($B64,GenSocketStats,lookSet,FALSE),0)</f>
        <v>0</v>
      </c>
      <c r="U64" s="188"/>
      <c r="V64" s="191" t="s">
        <v>2801</v>
      </c>
      <c r="W64" s="189"/>
      <c r="X64" s="189"/>
      <c r="Y64" s="189"/>
      <c r="Z64" s="1125"/>
      <c r="AA64" s="189" t="s">
        <v>681</v>
      </c>
      <c r="AB64" s="189"/>
      <c r="AC64" s="504" t="b">
        <v>1</v>
      </c>
      <c r="AD64" s="122"/>
      <c r="AE64" s="122"/>
      <c r="AF64" s="1343"/>
    </row>
    <row r="65" spans="1:32">
      <c r="A65" s="189"/>
      <c r="B65" s="599" t="s">
        <v>303</v>
      </c>
      <c r="C65" s="1309" t="b">
        <f>MID($R$62,1,1)+MID($R$62,3,1)+MID(R$62,5,1)&gt;=2</f>
        <v>1</v>
      </c>
      <c r="D65" s="600">
        <f>IF($C65,VLOOKUP($B65,GenSocketStats,lookStr,FALSE),0)</f>
        <v>0</v>
      </c>
      <c r="E65" s="600">
        <f>IF($C65,VLOOKUP($B65,GenSocketStats,lookAgi,FALSE),0)</f>
        <v>4</v>
      </c>
      <c r="F65" s="600">
        <f>IF($C65,VLOOKUP($B65,GenSocketStats,lookSta,FALSE),0)</f>
        <v>0</v>
      </c>
      <c r="G65" s="601">
        <f>IF($C65,VLOOKUP($B65,GenSocketStats,lookCrit,FALSE),0)</f>
        <v>0</v>
      </c>
      <c r="H65" s="601">
        <f>IF($C65,VLOOKUP($B65,GenSocketStats,lookHit,FALSE),0)</f>
        <v>4</v>
      </c>
      <c r="I65" s="600">
        <f>IF($C65,VLOOKUP($B65,GenSocketStats,lookAP,FALSE),0)</f>
        <v>0</v>
      </c>
      <c r="J65" s="600">
        <f>IF($C65,VLOOKUP($B65,GenSocketStats,lookRes,FALSE),0)</f>
        <v>0</v>
      </c>
      <c r="K65" s="601">
        <f>IF($C65,VLOOKUP($B65,GenSocketStats,lookDod,FALSE),0)</f>
        <v>0</v>
      </c>
      <c r="L65" s="600">
        <f>IF($C65,VLOOKUP($B65,GenSocketStats,lookExp,FALSE),0)</f>
        <v>0</v>
      </c>
      <c r="M65" s="600"/>
      <c r="N65" s="605"/>
      <c r="O65" s="600"/>
      <c r="P65" s="600">
        <f>IF($C65,VLOOKUP($B65,GenSocketStats,lookHaste,FALSE),0)</f>
        <v>0</v>
      </c>
      <c r="Q65" s="600">
        <f>IF($C65,VLOOKUP($B65,GenSocketStats,lookArmor,FALSE),0)</f>
        <v>0</v>
      </c>
      <c r="R65" s="600" t="str">
        <f>IF($C65,VLOOKUP($B65,GenSocketStats,lookSoc,FALSE),0)</f>
        <v>1 0 1</v>
      </c>
      <c r="S65" s="602">
        <f>IF($C65,VLOOKUP($B65,GenSocketStats,lookSet,FALSE),0)</f>
        <v>0</v>
      </c>
      <c r="U65" s="1130"/>
      <c r="V65" s="27" t="s">
        <v>2800</v>
      </c>
      <c r="W65" s="189"/>
      <c r="X65" s="189"/>
      <c r="Y65" s="64" t="b">
        <v>1</v>
      </c>
      <c r="Z65" s="1125"/>
      <c r="AA65" s="189" t="s">
        <v>682</v>
      </c>
      <c r="AB65" s="189"/>
      <c r="AC65" s="504" t="b">
        <v>1</v>
      </c>
      <c r="AD65" s="122"/>
      <c r="AE65" s="122"/>
      <c r="AF65" s="1343"/>
    </row>
    <row r="66" spans="1:32">
      <c r="A66" s="612" t="s">
        <v>258</v>
      </c>
      <c r="B66" s="618" t="s">
        <v>492</v>
      </c>
      <c r="C66" s="1154" t="str">
        <f>VLOOKUP($B66,RingStats,lookSource,FALSE)</f>
        <v>Karazhan</v>
      </c>
      <c r="D66" s="613">
        <f>VLOOKUP($B66,RingStats,lookStr,FALSE)</f>
        <v>0</v>
      </c>
      <c r="E66" s="613">
        <f>VLOOKUP($B66,RingStats,lookAgi,FALSE)</f>
        <v>20</v>
      </c>
      <c r="F66" s="613">
        <f>VLOOKUP($B66,RingStats,lookSta,FALSE)</f>
        <v>25</v>
      </c>
      <c r="G66" s="614">
        <f>VLOOKUP($B66,RingStats,lookCrit,FALSE)</f>
        <v>0</v>
      </c>
      <c r="H66" s="614">
        <f>VLOOKUP($B66,RingStats,lookHit,FALSE)</f>
        <v>18</v>
      </c>
      <c r="I66" s="613">
        <f>VLOOKUP($B66,RingStats,lookAP,FALSE)</f>
        <v>40</v>
      </c>
      <c r="J66" s="615">
        <f>VLOOKUP($B66,RingStats,lookRes,FALSE)</f>
        <v>0</v>
      </c>
      <c r="K66" s="614">
        <f>VLOOKUP($B66,RingStats,lookDod,FALSE)</f>
        <v>0</v>
      </c>
      <c r="L66" s="615">
        <f>VLOOKUP($B66,RingStats,lookExp,FALSE)</f>
        <v>0</v>
      </c>
      <c r="M66" s="615">
        <f>VLOOKUP($B66,RingStats,lookDef,FALSE)</f>
        <v>0</v>
      </c>
      <c r="N66" s="1154"/>
      <c r="O66" s="615"/>
      <c r="P66" s="615">
        <f>VLOOKUP($B66,RingStats,lookHaste,FALSE)</f>
        <v>0</v>
      </c>
      <c r="Q66" s="615">
        <f>VLOOKUP($B66,RingStats,lookArmor,FALSE)</f>
        <v>0</v>
      </c>
      <c r="R66" s="615">
        <f>VLOOKUP($B66,RingStats,lookSoc,FALSE)</f>
        <v>0</v>
      </c>
      <c r="S66" s="615">
        <f>VLOOKUP($B66,RingStats,lookSet,FALSE)</f>
        <v>0</v>
      </c>
      <c r="U66" s="1130"/>
      <c r="V66" s="27" t="s">
        <v>2802</v>
      </c>
      <c r="W66" s="189"/>
      <c r="X66" s="189"/>
      <c r="Y66" s="64" t="b">
        <v>0</v>
      </c>
      <c r="Z66" s="1125"/>
      <c r="AA66" s="27" t="s">
        <v>1686</v>
      </c>
      <c r="AB66" s="189"/>
      <c r="AC66" s="504" t="b">
        <v>1</v>
      </c>
      <c r="AD66" s="122"/>
      <c r="AE66" s="122"/>
      <c r="AF66" s="1343">
        <f>$D66*dpsStr+$E66*dpsAgi+$G66*dpsCrit+$H66*dpsHit+$I66*dpsAP+$L66*dpsExp+$P66*dpsHaste+$Q66*dpsArmor</f>
        <v>130.73802482919473</v>
      </c>
    </row>
    <row r="67" spans="1:32">
      <c r="A67" s="189" t="s">
        <v>260</v>
      </c>
      <c r="B67" s="610" t="s">
        <v>1689</v>
      </c>
      <c r="C67" s="1308"/>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10"/>
      <c r="O67" s="40"/>
      <c r="P67" s="46">
        <f>VLOOKUP($B67,RingEnchantStats,lookHaste,FALSE)</f>
        <v>0</v>
      </c>
      <c r="Q67" s="46">
        <f>VLOOKUP($B67,RingEnchantStats,lookArmor,FALSE)</f>
        <v>0</v>
      </c>
      <c r="R67" s="46">
        <f>VLOOKUP($B67,RingEnchantStats,lookSoc,FALSE)</f>
        <v>0</v>
      </c>
      <c r="S67" s="46">
        <f>VLOOKUP($B67,RingEnchantStats,lookSet,FALSE)</f>
        <v>0</v>
      </c>
      <c r="U67" s="1130"/>
      <c r="V67" s="64" t="s">
        <v>2803</v>
      </c>
      <c r="W67" s="189"/>
      <c r="X67" s="189"/>
      <c r="Y67" s="64" t="b">
        <v>0</v>
      </c>
      <c r="Z67" s="1125"/>
      <c r="AA67" s="27" t="s">
        <v>679</v>
      </c>
      <c r="AB67" s="189"/>
      <c r="AC67" s="504" t="b">
        <v>1</v>
      </c>
      <c r="AD67" s="122"/>
      <c r="AE67" s="122"/>
      <c r="AF67" s="1343">
        <f>$D67*dpsStr+$E67*dpsAgi+$G67*dpsCrit+$H67*dpsHit+$I67*dpsAP+$L67*dpsExp+$P67*dpsHaste+$Q67*dpsArmor</f>
        <v>0</v>
      </c>
    </row>
    <row r="68" spans="1:32">
      <c r="A68" s="612" t="s">
        <v>1567</v>
      </c>
      <c r="B68" s="617" t="s">
        <v>259</v>
      </c>
      <c r="C68" s="1154" t="str">
        <f>VLOOKUP($B68,RingStats,lookSource,FALSE)</f>
        <v>Karazhan</v>
      </c>
      <c r="D68" s="613">
        <f>VLOOKUP($B68,RingStats,lookStr,FALSE)</f>
        <v>0</v>
      </c>
      <c r="E68" s="613">
        <f>VLOOKUP($B68,RingStats,lookAgi,FALSE)</f>
        <v>0</v>
      </c>
      <c r="F68" s="613">
        <f>VLOOKUP($B68,RingStats,lookSta,FALSE)</f>
        <v>21</v>
      </c>
      <c r="G68" s="614">
        <f>VLOOKUP($B68,RingStats,lookCrit,FALSE)</f>
        <v>23</v>
      </c>
      <c r="H68" s="614">
        <f>VLOOKUP($B68,RingStats,lookHit,FALSE)</f>
        <v>19</v>
      </c>
      <c r="I68" s="613">
        <f>VLOOKUP($B68,RingStats,lookAP,FALSE)</f>
        <v>44</v>
      </c>
      <c r="J68" s="615">
        <f>VLOOKUP($B68,RingStats,lookRes,FALSE)</f>
        <v>0</v>
      </c>
      <c r="K68" s="614">
        <f>VLOOKUP($B68,RingStats,lookDod,FALSE)</f>
        <v>0</v>
      </c>
      <c r="L68" s="615">
        <f>VLOOKUP($B68,RingStats,lookExp,FALSE)</f>
        <v>0</v>
      </c>
      <c r="M68" s="615">
        <f>VLOOKUP($B68,RingStats,lookDef,FALSE)</f>
        <v>0</v>
      </c>
      <c r="N68" s="1154"/>
      <c r="O68" s="615"/>
      <c r="P68" s="615">
        <f>VLOOKUP($B68,RingStats,lookHaste,FALSE)</f>
        <v>0</v>
      </c>
      <c r="Q68" s="615">
        <f>VLOOKUP($B68,RingStats,lookArmor,FALSE)</f>
        <v>0</v>
      </c>
      <c r="R68" s="615">
        <f>VLOOKUP($B68,RingStats,lookSoc,FALSE)</f>
        <v>0</v>
      </c>
      <c r="S68" s="615">
        <f>VLOOKUP($B68,RingStats,lookSet,FALSE)</f>
        <v>0</v>
      </c>
      <c r="U68" s="1130"/>
      <c r="V68" s="189" t="s">
        <v>2804</v>
      </c>
      <c r="W68" s="189"/>
      <c r="X68" s="189"/>
      <c r="Y68" s="64" t="b">
        <v>0</v>
      </c>
      <c r="Z68" s="1125"/>
      <c r="AA68" s="189" t="s">
        <v>667</v>
      </c>
      <c r="AB68" s="189"/>
      <c r="AC68" s="504" t="b">
        <v>1</v>
      </c>
      <c r="AD68" s="122"/>
      <c r="AE68" s="122"/>
      <c r="AF68" s="1343">
        <f>$D68*dpsStr+$E68*dpsAgi+$G68*dpsCrit+$H68*dpsHit+$I68*dpsAP+$L68*dpsExp+$P68*dpsHaste+$Q68*dpsArmor</f>
        <v>136.94643403976124</v>
      </c>
    </row>
    <row r="69" spans="1:32">
      <c r="A69" s="189" t="s">
        <v>260</v>
      </c>
      <c r="B69" s="610" t="s">
        <v>1689</v>
      </c>
      <c r="C69" s="1308"/>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10"/>
      <c r="O69" s="40"/>
      <c r="P69" s="46">
        <f>VLOOKUP($B69,RingEnchantStats,lookHaste,FALSE)</f>
        <v>0</v>
      </c>
      <c r="Q69" s="46">
        <f>VLOOKUP($B69,RingEnchantStats,lookArmor,FALSE)</f>
        <v>0</v>
      </c>
      <c r="R69" s="46">
        <f>VLOOKUP($B69,RingEnchantStats,lookSoc,FALSE)</f>
        <v>0</v>
      </c>
      <c r="S69" s="46">
        <f>VLOOKUP($B69,RingEnchantStats,lookSet,FALSE)</f>
        <v>0</v>
      </c>
      <c r="U69" s="1130"/>
      <c r="V69" s="189" t="s">
        <v>2805</v>
      </c>
      <c r="W69" s="189"/>
      <c r="X69" s="189"/>
      <c r="Y69" s="64" t="b">
        <v>0</v>
      </c>
      <c r="Z69" s="1125"/>
      <c r="AA69" s="189" t="s">
        <v>470</v>
      </c>
      <c r="AB69" s="189"/>
      <c r="AC69" s="504" t="b">
        <v>1</v>
      </c>
      <c r="AD69" s="122"/>
      <c r="AE69" s="122"/>
      <c r="AF69" s="1343">
        <f>$D69*dpsStr+$E69*dpsAgi+$G69*dpsCrit+$H69*dpsHit+$I69*dpsAP+$L69*dpsExp+$P69*dpsHaste+$Q69*dpsArmor</f>
        <v>0</v>
      </c>
    </row>
    <row r="70" spans="1:32" ht="12.75" customHeight="1">
      <c r="A70" s="612" t="s">
        <v>1937</v>
      </c>
      <c r="B70" s="618" t="s">
        <v>1938</v>
      </c>
      <c r="C70" s="1154" t="str">
        <f>VLOOKUP($B70,TrinketStats,lookSource,FALSE)</f>
        <v>Gruul's Lair</v>
      </c>
      <c r="D70" s="613">
        <f>VLOOKUP($B70,TrinketStats,lookStr,FALSE)</f>
        <v>0</v>
      </c>
      <c r="E70" s="613">
        <f>VLOOKUP($B70,TrinketStats,lookAgi,FALSE)</f>
        <v>0</v>
      </c>
      <c r="F70" s="613">
        <f>VLOOKUP($B70,TrinketStats,lookSta,FALSE)</f>
        <v>0</v>
      </c>
      <c r="G70" s="614">
        <f>VLOOKUP($B70,TrinketStats,lookCrit,FALSE)</f>
        <v>0</v>
      </c>
      <c r="H70" s="614">
        <f>VLOOKUP($B70,TrinketStats,lookHit,FALSE)</f>
        <v>0</v>
      </c>
      <c r="I70" s="613">
        <f>VLOOKUP($B70,TrinketStats,lookAP,FALSE)</f>
        <v>40</v>
      </c>
      <c r="J70" s="615">
        <f>VLOOKUP($B70,TrinketStats,lookRes,FALSE)</f>
        <v>0</v>
      </c>
      <c r="K70" s="614">
        <f>VLOOKUP($B70,TrinketStats,lookDod,FALSE)</f>
        <v>0</v>
      </c>
      <c r="L70" s="615">
        <f>VLOOKUP($B70,TrinketStats,lookExp,FALSE)</f>
        <v>0</v>
      </c>
      <c r="M70" s="615">
        <f>VLOOKUP($B70,TrinketStats,lookDef,FALSE)</f>
        <v>0</v>
      </c>
      <c r="N70" s="1154"/>
      <c r="O70" s="615"/>
      <c r="P70" s="614">
        <f>VLOOKUP($B70,TrinketStats,lookHaste,FALSE)</f>
        <v>99.923869008308046</v>
      </c>
      <c r="Q70" s="615">
        <f>VLOOKUP($B70,TrinketStats,lookArmor,FALSE)</f>
        <v>0</v>
      </c>
      <c r="R70" s="615">
        <f>VLOOKUP($B70,TrinketStats,lookSoc,FALSE)</f>
        <v>0</v>
      </c>
      <c r="S70" s="615">
        <f>VLOOKUP($B70,TrinketStats,lookSet,FALSE)</f>
        <v>0</v>
      </c>
      <c r="U70" s="1140"/>
      <c r="V70" s="189"/>
      <c r="W70" s="189"/>
      <c r="X70" s="64"/>
      <c r="Y70" s="189"/>
      <c r="Z70" s="1125"/>
      <c r="AA70" s="189" t="s">
        <v>683</v>
      </c>
      <c r="AB70" s="189"/>
      <c r="AC70" s="504" t="b">
        <v>1</v>
      </c>
      <c r="AD70" s="122"/>
      <c r="AE70" s="122"/>
      <c r="AF70" s="1343">
        <f>$D70*dpsStr+$E70*dpsAgi+$G70*dpsCrit+$H70*dpsHit+$I70*dpsAP+$L70*dpsExp+$P70*dpsHaste+$Q70*dpsArmor+VLOOKUP($B70,TrinketStats,23,FALSE)</f>
        <v>381.15216877515627</v>
      </c>
    </row>
    <row r="71" spans="1:32">
      <c r="A71" s="612" t="s">
        <v>1939</v>
      </c>
      <c r="B71" s="618" t="s">
        <v>185</v>
      </c>
      <c r="C71" s="1154" t="str">
        <f>VLOOKUP($B71,TrinketStats,lookSource,FALSE)</f>
        <v>Heroic</v>
      </c>
      <c r="D71" s="613">
        <f>VLOOKUP($B71,TrinketStats,lookStr,FALSE)</f>
        <v>0</v>
      </c>
      <c r="E71" s="613">
        <f>VLOOKUP($B71,TrinketStats,lookAgi,FALSE)</f>
        <v>0</v>
      </c>
      <c r="F71" s="613">
        <f>VLOOKUP($B71,TrinketStats,lookSta,FALSE)</f>
        <v>0</v>
      </c>
      <c r="G71" s="614">
        <f>VLOOKUP($B71,TrinketStats,lookCrit,FALSE)</f>
        <v>0</v>
      </c>
      <c r="H71" s="614">
        <f>VLOOKUP($B71,TrinketStats,lookHit,FALSE)</f>
        <v>0</v>
      </c>
      <c r="I71" s="613">
        <f>VLOOKUP($B71,TrinketStats,lookAP,FALSE)</f>
        <v>72</v>
      </c>
      <c r="J71" s="615">
        <f>VLOOKUP($B71,TrinketStats,lookRes,FALSE)</f>
        <v>0</v>
      </c>
      <c r="K71" s="614">
        <f>VLOOKUP($B71,TrinketStats,lookDod,FALSE)</f>
        <v>0</v>
      </c>
      <c r="L71" s="615">
        <f>VLOOKUP($B71,TrinketStats,lookExp,FALSE)</f>
        <v>0</v>
      </c>
      <c r="M71" s="615">
        <f>VLOOKUP($B71,TrinketStats,lookDef,FALSE)</f>
        <v>0</v>
      </c>
      <c r="N71" s="1154"/>
      <c r="O71" s="615"/>
      <c r="P71" s="615">
        <f>VLOOKUP($B71,TrinketStats,lookHaste,FALSE)</f>
        <v>0</v>
      </c>
      <c r="Q71" s="615">
        <f>VLOOKUP($B71,TrinketStats,lookArmor,FALSE)</f>
        <v>0</v>
      </c>
      <c r="R71" s="615">
        <f>VLOOKUP($B71,TrinketStats,lookSoc,FALSE)</f>
        <v>0</v>
      </c>
      <c r="S71" s="615">
        <f>VLOOKUP($B71,TrinketStats,lookSet,FALSE)</f>
        <v>0</v>
      </c>
      <c r="U71" s="188"/>
      <c r="V71" s="108" t="s">
        <v>801</v>
      </c>
      <c r="W71" s="189"/>
      <c r="X71" s="189"/>
      <c r="Y71" s="189"/>
      <c r="Z71" s="1125"/>
      <c r="AA71" s="64" t="s">
        <v>684</v>
      </c>
      <c r="AB71" s="189"/>
      <c r="AC71" s="504" t="b">
        <v>1</v>
      </c>
      <c r="AD71" s="122"/>
      <c r="AE71" s="122"/>
      <c r="AF71" s="1343">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30"/>
      <c r="V72" s="197" t="s">
        <v>802</v>
      </c>
      <c r="W72" s="189"/>
      <c r="X72" s="189"/>
      <c r="Y72" s="189" t="b">
        <v>0</v>
      </c>
      <c r="Z72" s="1125"/>
      <c r="AA72" s="197" t="s">
        <v>664</v>
      </c>
      <c r="AB72" s="189"/>
      <c r="AC72" s="190" t="b">
        <v>1</v>
      </c>
      <c r="AD72" s="122"/>
      <c r="AE72" s="122"/>
      <c r="AF72" s="1340"/>
    </row>
    <row r="73" spans="1:32" ht="12.75" customHeight="1">
      <c r="A73" s="189"/>
      <c r="B73" s="597" t="s">
        <v>1941</v>
      </c>
      <c r="C73" s="594"/>
      <c r="D73" s="595">
        <f>Sockfit!S48</f>
        <v>0</v>
      </c>
      <c r="E73" s="595">
        <f>Sockfit!T48</f>
        <v>8</v>
      </c>
      <c r="F73" s="595">
        <f>Sockfit!U48</f>
        <v>0</v>
      </c>
      <c r="G73" s="595">
        <f>Sockfit!V48</f>
        <v>0</v>
      </c>
      <c r="H73" s="595">
        <f>Sockfit!W48</f>
        <v>3</v>
      </c>
      <c r="I73" s="595">
        <f>Sockfit!X48</f>
        <v>0</v>
      </c>
      <c r="J73" s="595">
        <f>Sockfit!Z48</f>
        <v>0</v>
      </c>
      <c r="K73" s="595">
        <f>Sockfit!Y48</f>
        <v>0</v>
      </c>
      <c r="L73" s="595">
        <f>Sockfit!AA48</f>
        <v>0</v>
      </c>
      <c r="M73" s="595"/>
      <c r="N73" s="595"/>
      <c r="O73" s="595"/>
      <c r="P73" s="595">
        <f>Sockfit!AE48</f>
        <v>0</v>
      </c>
      <c r="Q73" s="595"/>
      <c r="R73" s="598">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8">
        <f>IF(C41=TRUE,MID(R41,1,1))+IF(C44=TRUE,MID(R44,1,1))+IF(C45=TRUE,MID(R45,1,1))+IF(C46=TRUE,MID(R46,1,1))+IF(C49=TRUE,MID(R49,1,1))+IF(C52=TRUE,MID(R52,1,1))+IF(C53=TRUE,MID(R53,1,1))+IF(C55=TRUE,MID(R55,1,1))+IF(C56=TRUE,MID(R56,1,1))+IF(C59=TRUE,MID(R59,1,1))+IF(C60=TRUE,MID(R60,1,1))+IF(C61=TRUE,MID(R61,1,1))+IF(C64=TRUE,MID(R64,1,1))+IF(C65=TRUE,MID(R65,1,1))</f>
        <v>3</v>
      </c>
      <c r="U73" s="1130"/>
      <c r="V73" s="197" t="s">
        <v>803</v>
      </c>
      <c r="W73" s="189"/>
      <c r="X73" s="189"/>
      <c r="Y73" s="189" t="b">
        <v>1</v>
      </c>
      <c r="Z73" s="1125"/>
      <c r="AA73" s="197" t="s">
        <v>871</v>
      </c>
      <c r="AB73" s="189"/>
      <c r="AC73" s="190" t="b">
        <v>1</v>
      </c>
      <c r="AD73" s="122"/>
      <c r="AE73" s="122"/>
      <c r="AF73" s="1340"/>
    </row>
    <row r="74" spans="1:32">
      <c r="A74" s="189"/>
      <c r="B74" s="1143" t="s">
        <v>2466</v>
      </c>
      <c r="C74" s="1144"/>
      <c r="D74" s="1145">
        <f>VLOOKUP(B74,RacesStats,2,FALSE)</f>
        <v>95</v>
      </c>
      <c r="E74" s="1145">
        <f>VLOOKUP(B74,RacesStats,3,FALSE)</f>
        <v>158</v>
      </c>
      <c r="F74" s="1145">
        <f>VLOOKUP(B74,RacesStats,4,FALSE)</f>
        <v>89</v>
      </c>
      <c r="G74" s="1146">
        <f>VLOOKUP(B74,RacesStats,5,FALSE)</f>
        <v>0</v>
      </c>
      <c r="H74" s="1146">
        <f>VLOOKUP(B74,RacesStats,6,FALSE)</f>
        <v>0</v>
      </c>
      <c r="I74" s="1145">
        <f>VLOOKUP(B74,RacesStats,7,FALSE)</f>
        <v>0</v>
      </c>
      <c r="J74" s="1145"/>
      <c r="K74" s="1146">
        <f>VLOOKUP(B74,RacesStats,8,FALSE)</f>
        <v>0</v>
      </c>
      <c r="L74" s="1147">
        <f>VLOOKUP(B74,RacesStats,9,FALSE)</f>
        <v>0</v>
      </c>
      <c r="M74" s="1147"/>
      <c r="N74" s="1147"/>
      <c r="O74" s="1147"/>
      <c r="P74" s="1147">
        <f>VLOOKUP(B74,RacesStats,13,FALSE)</f>
        <v>0</v>
      </c>
      <c r="Q74" s="1147"/>
      <c r="R74" s="1148">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8">
        <f>IF(C41=TRUE,MID(R41,3,1))+IF(C44=TRUE,MID(R44,3,1))+IF(C45=TRUE,MID(R45,3,1))+IF(C46=TRUE,MID(R46,3,1))+IF(C49=TRUE,MID(R49,3,1))+IF(C52=TRUE,MID(R52,3,1))+IF(C53=TRUE,MID(R53,3,1))+IF(C55=TRUE,MID(R55,3,1))+IF(C56=TRUE,MID(R56,3,1))+IF(C59=TRUE,MID(R59,3,1))+IF(C60=TRUE,MID(R60,3,1))+IF(C61=TRUE,MID(R61,3,1))+IF(C64=TRUE,MID(R64,3,1))+IF(C65=TRUE,MID(R65,3,1))</f>
        <v>1</v>
      </c>
      <c r="U74" s="1130"/>
      <c r="V74" s="197" t="s">
        <v>804</v>
      </c>
      <c r="W74" s="189"/>
      <c r="X74" s="189"/>
      <c r="Y74" s="189" t="b">
        <v>0</v>
      </c>
      <c r="Z74" s="1125"/>
      <c r="AA74" s="27" t="s">
        <v>2797</v>
      </c>
      <c r="AB74" s="189"/>
      <c r="AC74" s="190" t="b">
        <v>1</v>
      </c>
      <c r="AD74" s="1342"/>
      <c r="AE74" s="1342"/>
      <c r="AF74" s="1342"/>
    </row>
    <row r="75" spans="1:32" ht="13.5" thickBot="1">
      <c r="A75" s="189"/>
      <c r="B75" s="593" t="s">
        <v>1898</v>
      </c>
      <c r="C75" s="594"/>
      <c r="D75" s="595"/>
      <c r="E75" s="595"/>
      <c r="F75" s="595"/>
      <c r="G75" s="596">
        <f>(Talents!C16/100+IF(mhtype="dagger",Talents!F24/100,0)+IF(mhtype="fist",Talents!F29/100,0))*crrate*100</f>
        <v>110.38461538461539</v>
      </c>
      <c r="H75" s="596">
        <f>Talents!F19/100*HitRate*100</f>
        <v>78.84615384615384</v>
      </c>
      <c r="I75" s="595"/>
      <c r="J75" s="595"/>
      <c r="K75" s="596">
        <f>Talents!F16*dorate</f>
        <v>0</v>
      </c>
      <c r="L75" s="596">
        <f>Talents!$F31*5*skillrate</f>
        <v>39.42307692307692</v>
      </c>
      <c r="M75" s="596"/>
      <c r="N75" s="596"/>
      <c r="O75" s="596"/>
      <c r="P75" s="596"/>
      <c r="Q75" s="596"/>
      <c r="R75" s="598">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8">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2"/>
      <c r="AE75" s="1342"/>
      <c r="AF75" s="1342"/>
    </row>
    <row r="76" spans="1:32">
      <c r="C76" s="48"/>
      <c r="G76" s="49"/>
      <c r="H76" s="49"/>
      <c r="K76" s="49"/>
      <c r="U76" s="189"/>
      <c r="V76" s="189"/>
      <c r="W76" s="189"/>
      <c r="X76" s="189"/>
      <c r="Y76" s="189"/>
      <c r="Z76" s="189"/>
      <c r="AA76" s="189"/>
      <c r="AB76" s="228"/>
      <c r="AC76" s="228"/>
      <c r="AD76" s="1342"/>
      <c r="AE76" s="1342"/>
      <c r="AF76" s="1342"/>
    </row>
    <row r="77" spans="1:32" ht="13.5" thickBot="1">
      <c r="A77" s="282">
        <v>1</v>
      </c>
      <c r="C77" s="48"/>
      <c r="G77" s="49"/>
      <c r="H77" s="49"/>
      <c r="K77" s="49"/>
      <c r="R77" s="205" t="s">
        <v>275</v>
      </c>
      <c r="T77" s="31"/>
      <c r="U77" s="189"/>
      <c r="V77" s="189"/>
      <c r="W77" s="189"/>
      <c r="X77" s="189"/>
      <c r="Y77" s="189"/>
      <c r="Z77" s="189"/>
      <c r="AA77" s="189"/>
      <c r="AB77" s="228"/>
      <c r="AC77" s="228"/>
      <c r="AD77" s="1342"/>
      <c r="AE77" s="1342"/>
      <c r="AF77" s="1342"/>
    </row>
    <row r="78" spans="1:32" ht="13.5" thickBot="1">
      <c r="B78" s="1416" t="s">
        <v>1942</v>
      </c>
      <c r="C78" s="1417"/>
      <c r="D78" s="1149">
        <f>SUM(D10:D76)</f>
        <v>101</v>
      </c>
      <c r="E78" s="1149">
        <f>(SUM(E10:E76)+IF(time=0,0,'Cooldowns Calc'!Y1))*(1+Talents!F33/100)*(1+Talents!I36*3/100)</f>
        <v>675.15470163644818</v>
      </c>
      <c r="F78" s="1149">
        <f>(SUM(F10:F76))*(1+Talents!F33/50)</f>
        <v>431.6</v>
      </c>
      <c r="G78" s="1149">
        <f>SUM(G10:G76)</f>
        <v>159.38461538461539</v>
      </c>
      <c r="H78" s="1149">
        <f>SUM(H10:H76)+Y34</f>
        <v>420.84615384615381</v>
      </c>
      <c r="I78" s="1149">
        <f>(SUM(I10:I76)+E78+D78+120+Y33+Y35+IF(time=0,0,'Cooldowns Calc'!Z1))*deadliness</f>
        <v>1792.3120007357772</v>
      </c>
      <c r="J78" s="1149">
        <f>SUM(J10:J76)+Y28+Y29</f>
        <v>0</v>
      </c>
      <c r="K78" s="1149">
        <f>SUM(K10:K76)+Y32</f>
        <v>0</v>
      </c>
      <c r="L78" s="1149">
        <f>SUM(L10:L76)</f>
        <v>53.42307692307692</v>
      </c>
      <c r="M78" s="1149">
        <f>SUM(M10:M76)</f>
        <v>0</v>
      </c>
      <c r="N78" s="1149"/>
      <c r="O78" s="1149"/>
      <c r="P78" s="1149">
        <f>SUM(P10:P76)</f>
        <v>127.49804426656831</v>
      </c>
      <c r="Q78" s="1149">
        <f>SUM(Q10:Q76)</f>
        <v>0</v>
      </c>
      <c r="R78" s="1150" t="str">
        <f>R73+S73&amp;" "&amp;R74+S74&amp;" "&amp;R75+S75</f>
        <v>4 2 12</v>
      </c>
      <c r="S78" s="50"/>
      <c r="T78" s="31"/>
      <c r="U78" s="189"/>
      <c r="V78" s="189"/>
      <c r="W78" s="189"/>
      <c r="X78" s="189"/>
      <c r="Y78" s="189"/>
      <c r="Z78" s="189"/>
      <c r="AA78" s="189"/>
      <c r="AB78" s="189"/>
      <c r="AC78" s="189"/>
      <c r="AD78" s="1342"/>
      <c r="AE78" s="1342"/>
      <c r="AF78" s="1342"/>
    </row>
    <row r="79" spans="1:32" ht="13.5" thickBot="1">
      <c r="A79" s="619" t="s">
        <v>1943</v>
      </c>
      <c r="B79" s="647"/>
      <c r="C79" s="648" t="s">
        <v>1944</v>
      </c>
      <c r="D79" s="648" t="s">
        <v>1214</v>
      </c>
      <c r="E79" s="648" t="s">
        <v>1215</v>
      </c>
      <c r="F79" s="648" t="s">
        <v>1216</v>
      </c>
      <c r="G79" s="648" t="s">
        <v>2140</v>
      </c>
      <c r="H79" s="648" t="s">
        <v>2139</v>
      </c>
      <c r="I79" s="648" t="s">
        <v>768</v>
      </c>
      <c r="J79" s="648" t="s">
        <v>1217</v>
      </c>
      <c r="K79" s="648" t="s">
        <v>2144</v>
      </c>
      <c r="L79" s="648" t="s">
        <v>1582</v>
      </c>
      <c r="M79" s="648" t="s">
        <v>2166</v>
      </c>
      <c r="N79" s="648"/>
      <c r="O79" s="648"/>
      <c r="P79" s="648" t="s">
        <v>771</v>
      </c>
      <c r="Q79" s="649" t="s">
        <v>770</v>
      </c>
      <c r="R79" s="50"/>
      <c r="S79" s="50"/>
      <c r="T79" s="31"/>
      <c r="U79" s="189"/>
      <c r="V79" s="189"/>
      <c r="W79" s="189"/>
      <c r="X79" s="189"/>
      <c r="Y79" s="189"/>
      <c r="Z79" s="189"/>
      <c r="AA79" s="189"/>
      <c r="AB79" s="189"/>
      <c r="AC79" s="189"/>
      <c r="AD79" s="1342"/>
      <c r="AE79" s="1342"/>
      <c r="AF79" s="20"/>
    </row>
    <row r="80" spans="1:32">
      <c r="A80" s="630"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2"/>
      <c r="AE80" s="1342"/>
      <c r="AF80" s="20"/>
    </row>
    <row r="81" spans="1:32">
      <c r="A81" s="629"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1"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8"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9"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1"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2"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40"/>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3"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40"/>
    </row>
    <row r="90" spans="1:32">
      <c r="A90" s="633"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40"/>
      <c r="AE90" s="1340"/>
      <c r="AF90" s="1340"/>
    </row>
    <row r="91" spans="1:32">
      <c r="A91" s="608"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40"/>
    </row>
    <row r="92" spans="1:32">
      <c r="A92" s="884" t="s">
        <v>3102</v>
      </c>
      <c r="B92" s="885">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40"/>
    </row>
    <row r="93" spans="1:32">
      <c r="A93" s="884" t="s">
        <v>623</v>
      </c>
      <c r="B93" s="885">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40"/>
      <c r="AE93" s="1340"/>
      <c r="AF93" s="1340"/>
    </row>
    <row r="94" spans="1:32" ht="13.5" thickBot="1">
      <c r="A94" s="883"/>
      <c r="B94" s="164"/>
      <c r="C94" s="27"/>
      <c r="D94" s="163"/>
      <c r="E94" s="15"/>
      <c r="F94" s="15"/>
      <c r="G94" s="15"/>
      <c r="H94" s="15"/>
      <c r="I94" s="15"/>
      <c r="J94" s="15"/>
      <c r="K94" s="15"/>
      <c r="L94" s="15"/>
      <c r="M94" s="15"/>
      <c r="N94" s="15"/>
      <c r="O94" s="15"/>
      <c r="P94" s="15"/>
      <c r="Q94" s="15"/>
      <c r="R94" s="50"/>
      <c r="S94" s="50"/>
      <c r="T94" s="31"/>
      <c r="AD94" s="1340"/>
      <c r="AE94" s="1340"/>
      <c r="AF94" s="1340"/>
    </row>
    <row r="95" spans="1:32" ht="13.5" thickBot="1">
      <c r="A95" s="622" t="s">
        <v>1952</v>
      </c>
      <c r="B95" s="623"/>
      <c r="C95" s="624"/>
      <c r="D95" s="620" t="s">
        <v>1214</v>
      </c>
      <c r="E95" s="620" t="s">
        <v>1215</v>
      </c>
      <c r="F95" s="620" t="s">
        <v>1216</v>
      </c>
      <c r="G95" s="620" t="s">
        <v>2140</v>
      </c>
      <c r="H95" s="620" t="s">
        <v>2139</v>
      </c>
      <c r="I95" s="620" t="s">
        <v>768</v>
      </c>
      <c r="J95" s="620" t="s">
        <v>1217</v>
      </c>
      <c r="K95" s="620" t="s">
        <v>2144</v>
      </c>
      <c r="L95" s="620" t="s">
        <v>1582</v>
      </c>
      <c r="M95" s="620" t="s">
        <v>2166</v>
      </c>
      <c r="N95" s="620"/>
      <c r="O95" s="620"/>
      <c r="P95" s="620" t="s">
        <v>771</v>
      </c>
      <c r="Q95" s="621" t="s">
        <v>770</v>
      </c>
      <c r="R95" s="46"/>
      <c r="S95" s="46"/>
      <c r="T95" s="56"/>
      <c r="V95" s="27"/>
      <c r="W95" s="27"/>
      <c r="X95" s="27"/>
      <c r="AD95" s="1340"/>
      <c r="AE95" s="1340"/>
      <c r="AF95" s="1340"/>
    </row>
    <row r="96" spans="1:32">
      <c r="A96" s="30" t="s">
        <v>1954</v>
      </c>
      <c r="B96" s="164">
        <v>1</v>
      </c>
      <c r="C96" s="57">
        <v>2</v>
      </c>
      <c r="D96" s="58"/>
      <c r="E96" s="49"/>
      <c r="F96" s="49">
        <f>IF(Talents!O36="No",B96*79*(1+C96*0.15),0)</f>
        <v>102.7</v>
      </c>
      <c r="G96" s="49"/>
      <c r="H96" s="49"/>
      <c r="I96" s="49"/>
      <c r="J96" s="49"/>
      <c r="L96"/>
      <c r="M96"/>
      <c r="N96"/>
      <c r="O96"/>
      <c r="P96" s="46"/>
      <c r="Q96" s="46"/>
      <c r="R96" s="46"/>
      <c r="S96" s="46"/>
      <c r="AD96" s="1340"/>
      <c r="AE96" s="1340"/>
      <c r="AF96" s="1340"/>
    </row>
    <row r="97" spans="1:32">
      <c r="A97" s="629"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40"/>
      <c r="AE97" s="1340"/>
      <c r="AF97" s="1340"/>
    </row>
    <row r="98" spans="1:32">
      <c r="A98" s="629" t="s">
        <v>557</v>
      </c>
      <c r="B98" s="164">
        <v>0</v>
      </c>
      <c r="C98" s="57"/>
      <c r="D98" s="58"/>
      <c r="E98" s="49"/>
      <c r="F98" s="49"/>
      <c r="G98" s="49">
        <f>IF(Talents!O36="No",B98*5*crrate,0)</f>
        <v>0</v>
      </c>
      <c r="H98" s="49"/>
      <c r="I98" s="49"/>
      <c r="AD98" s="1340"/>
      <c r="AE98" s="1340"/>
      <c r="AF98" s="1340"/>
    </row>
    <row r="99" spans="1:32">
      <c r="A99" s="628" t="s">
        <v>555</v>
      </c>
      <c r="B99" s="164">
        <v>1</v>
      </c>
      <c r="C99" s="57">
        <v>5</v>
      </c>
      <c r="D99" s="58"/>
      <c r="E99" s="49"/>
      <c r="F99" s="49"/>
      <c r="G99" s="49"/>
      <c r="H99" s="49"/>
      <c r="I99" s="49">
        <f>IF(Talents!O36="No",B99*305*(1+$C99*0.05),0)</f>
        <v>381.25</v>
      </c>
      <c r="J99" s="49"/>
      <c r="L99" s="46"/>
      <c r="M99" s="46"/>
      <c r="N99" s="46"/>
      <c r="O99" s="46"/>
      <c r="P99" s="46"/>
      <c r="Q99" s="46"/>
      <c r="R99" s="46"/>
      <c r="S99" s="46"/>
      <c r="AD99" s="1340"/>
      <c r="AE99" s="1340"/>
      <c r="AF99" s="1340"/>
    </row>
    <row r="100" spans="1:32">
      <c r="A100" s="628" t="s">
        <v>1662</v>
      </c>
      <c r="B100" s="164">
        <v>0</v>
      </c>
      <c r="C100" s="57"/>
      <c r="D100" s="58"/>
      <c r="E100" s="49"/>
      <c r="F100" s="49"/>
      <c r="G100" s="49"/>
      <c r="H100" s="49"/>
      <c r="I100" s="49">
        <f>IF(Talents!O36="No",B100*70*(1+$C99*0.05),0)</f>
        <v>0</v>
      </c>
      <c r="J100" s="49"/>
      <c r="L100" s="46"/>
      <c r="M100" s="46"/>
      <c r="N100" s="46"/>
      <c r="O100" s="46"/>
      <c r="P100" s="46"/>
      <c r="Q100" s="46"/>
      <c r="R100" s="46"/>
      <c r="S100" s="46"/>
      <c r="AD100" s="1340"/>
      <c r="AE100" s="1340"/>
      <c r="AF100" s="1340"/>
    </row>
    <row r="101" spans="1:32">
      <c r="A101" s="628"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40"/>
      <c r="AE101" s="1340"/>
      <c r="AF101" s="1340"/>
    </row>
    <row r="102" spans="1:32">
      <c r="A102" s="633" t="s">
        <v>556</v>
      </c>
      <c r="B102" s="164">
        <v>0</v>
      </c>
      <c r="C102" s="57"/>
      <c r="D102" s="58"/>
      <c r="E102" s="49"/>
      <c r="F102" s="49"/>
      <c r="G102" s="49"/>
      <c r="H102" s="49"/>
      <c r="I102" s="49">
        <f>IF(Talents!O36="No",B102*125,0)</f>
        <v>0</v>
      </c>
      <c r="J102" s="49"/>
      <c r="L102" s="46"/>
      <c r="M102" s="46"/>
      <c r="N102" s="46"/>
      <c r="O102" s="46"/>
      <c r="P102" s="46"/>
      <c r="Q102" s="46"/>
      <c r="R102" s="46"/>
      <c r="S102" s="46"/>
      <c r="AD102" s="1340"/>
      <c r="AE102" s="1340"/>
      <c r="AF102" s="1340"/>
    </row>
    <row r="103" spans="1:32">
      <c r="A103" s="633" t="s">
        <v>2229</v>
      </c>
      <c r="B103" s="164">
        <v>0</v>
      </c>
      <c r="C103" s="57">
        <v>3</v>
      </c>
      <c r="D103" s="58"/>
      <c r="E103" s="49"/>
      <c r="F103" s="49"/>
      <c r="G103" s="49"/>
      <c r="H103" s="49"/>
      <c r="I103" s="49"/>
      <c r="AD103" s="1340"/>
      <c r="AE103" s="1340"/>
      <c r="AF103" s="1340"/>
    </row>
    <row r="104" spans="1:32">
      <c r="A104" s="632" t="s">
        <v>536</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40"/>
      <c r="AE104" s="1340"/>
      <c r="AF104" s="1340"/>
    </row>
    <row r="105" spans="1:32">
      <c r="A105" s="632" t="s">
        <v>537</v>
      </c>
      <c r="B105" s="164">
        <v>1</v>
      </c>
      <c r="C105" s="57">
        <v>5</v>
      </c>
      <c r="D105" s="61"/>
      <c r="E105" s="59"/>
      <c r="F105" s="59"/>
      <c r="G105" s="49"/>
      <c r="H105" s="49"/>
      <c r="I105" s="49">
        <f>IF(Talents!O36="No",B105*220*(1+$C105*0.04),0)</f>
        <v>264</v>
      </c>
      <c r="AD105" s="1340"/>
      <c r="AE105" s="1340"/>
      <c r="AF105" s="1340"/>
    </row>
    <row r="106" spans="1:32">
      <c r="A106" s="632" t="s">
        <v>2889</v>
      </c>
      <c r="B106" s="164">
        <v>0</v>
      </c>
      <c r="C106" s="57">
        <v>2</v>
      </c>
      <c r="D106" s="58"/>
      <c r="E106" s="49"/>
      <c r="F106" s="49"/>
      <c r="G106" s="49"/>
      <c r="H106" s="49"/>
      <c r="I106" s="49"/>
      <c r="AD106" s="1340"/>
      <c r="AE106" s="1340"/>
      <c r="AF106" s="1340"/>
    </row>
    <row r="107" spans="1:32">
      <c r="A107" s="634"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40"/>
      <c r="AE107" s="1340"/>
      <c r="AF107" s="1340"/>
    </row>
    <row r="108" spans="1:32">
      <c r="A108" s="634" t="s">
        <v>538</v>
      </c>
      <c r="B108" s="164">
        <v>0</v>
      </c>
      <c r="C108" s="57">
        <v>2</v>
      </c>
      <c r="D108" s="58"/>
      <c r="E108" s="49">
        <f>IF(Talents!O36="No",B108*77*IF($C108=2,1.15,IF($C108=1,1.08,1))*IF(mhtemp="Windfury", 0.9, 1),0)</f>
        <v>0</v>
      </c>
      <c r="F108" s="59"/>
      <c r="G108" s="59"/>
      <c r="H108" s="59"/>
      <c r="I108" s="59"/>
      <c r="J108" s="62"/>
      <c r="AD108" s="1340"/>
      <c r="AE108" s="1340"/>
      <c r="AF108" s="1340"/>
    </row>
    <row r="109" spans="1:32">
      <c r="A109" s="634" t="s">
        <v>539</v>
      </c>
      <c r="B109" s="164">
        <v>1</v>
      </c>
      <c r="C109" s="57">
        <v>2</v>
      </c>
      <c r="D109" s="58">
        <f>IF(Talents!O36="No",B109*86*IF($C109=2,1.15,IF($C109=1,1.08,1)),0)</f>
        <v>98.899999999999991</v>
      </c>
      <c r="E109" s="49"/>
      <c r="F109" s="49"/>
      <c r="G109" s="49"/>
      <c r="H109" s="49"/>
      <c r="I109" s="49"/>
      <c r="AD109" s="1340"/>
      <c r="AE109" s="1340"/>
      <c r="AF109" s="1340"/>
    </row>
    <row r="110" spans="1:32">
      <c r="A110" s="886" t="s">
        <v>540</v>
      </c>
      <c r="B110" s="885">
        <v>1</v>
      </c>
      <c r="C110" s="57"/>
      <c r="D110" s="58"/>
      <c r="E110" s="22"/>
      <c r="F110" s="22"/>
      <c r="G110" s="22"/>
      <c r="H110" s="22"/>
      <c r="I110" s="22"/>
      <c r="J110" s="21"/>
      <c r="K110" s="21"/>
      <c r="L110" s="50"/>
      <c r="M110" s="50"/>
      <c r="N110" s="50"/>
      <c r="O110" s="50"/>
      <c r="P110" s="50"/>
      <c r="Q110" s="50"/>
      <c r="AD110" s="1340"/>
      <c r="AE110" s="1340"/>
      <c r="AF110" s="1340"/>
    </row>
    <row r="111" spans="1:32">
      <c r="A111" s="886" t="s">
        <v>541</v>
      </c>
      <c r="B111" s="885"/>
      <c r="C111" s="57">
        <v>2</v>
      </c>
      <c r="D111" s="58"/>
      <c r="E111" s="22"/>
      <c r="F111" s="22"/>
      <c r="G111" s="22"/>
      <c r="H111" s="22"/>
      <c r="I111" s="22"/>
      <c r="J111" s="21"/>
      <c r="K111" s="21"/>
      <c r="L111" s="50"/>
      <c r="M111" s="50"/>
      <c r="N111" s="50"/>
      <c r="O111" s="50"/>
      <c r="P111" s="50"/>
      <c r="Q111" s="50"/>
      <c r="R111" s="50"/>
      <c r="AD111" s="1340"/>
      <c r="AE111" s="1340"/>
      <c r="AF111" s="1340"/>
    </row>
    <row r="112" spans="1:32">
      <c r="A112" s="631" t="s">
        <v>2891</v>
      </c>
      <c r="B112" s="885">
        <v>0</v>
      </c>
      <c r="C112" s="57">
        <v>3</v>
      </c>
      <c r="D112" s="22"/>
      <c r="E112" s="22"/>
      <c r="F112" s="22">
        <f>IF(Talents!O36="No",B112*70*(1+$C112*0.1),0)</f>
        <v>0</v>
      </c>
      <c r="G112" s="22"/>
      <c r="H112" s="22"/>
      <c r="I112" s="22"/>
      <c r="J112" s="21"/>
      <c r="K112" s="21"/>
      <c r="L112" s="50"/>
      <c r="M112" s="50"/>
      <c r="N112" s="50"/>
      <c r="O112" s="50"/>
      <c r="P112" s="50"/>
      <c r="Q112" s="50"/>
      <c r="R112" s="50"/>
      <c r="AD112" s="1340"/>
      <c r="AE112" s="1340"/>
      <c r="AF112" s="1340"/>
    </row>
    <row r="113" spans="1:32">
      <c r="A113" s="607" t="s">
        <v>105</v>
      </c>
      <c r="B113" s="164">
        <v>0</v>
      </c>
      <c r="C113" s="57"/>
      <c r="D113" s="49"/>
      <c r="E113" s="49"/>
      <c r="F113" s="49"/>
      <c r="G113" s="49"/>
      <c r="H113" s="49"/>
      <c r="I113" s="49"/>
      <c r="P113" s="49"/>
      <c r="Q113" s="49"/>
      <c r="AD113" s="1340"/>
      <c r="AE113" s="1340"/>
      <c r="AF113" s="1340"/>
    </row>
    <row r="114" spans="1:32">
      <c r="A114" s="607" t="s">
        <v>104</v>
      </c>
      <c r="B114" s="164">
        <v>0</v>
      </c>
      <c r="C114" s="57"/>
      <c r="D114" s="49"/>
      <c r="E114" s="49"/>
      <c r="F114" s="49"/>
      <c r="G114" s="49"/>
      <c r="H114" s="49">
        <f>10*conv*B114</f>
        <v>0</v>
      </c>
      <c r="I114" s="49"/>
      <c r="AD114" s="1340"/>
      <c r="AE114" s="1340"/>
      <c r="AF114" s="1340"/>
    </row>
    <row r="115" spans="1:32" ht="13.5" thickBot="1">
      <c r="A115" s="60"/>
      <c r="B115" s="54"/>
      <c r="C115" s="19"/>
      <c r="D115" s="887"/>
      <c r="E115" s="49"/>
      <c r="F115" s="49"/>
      <c r="G115" s="49"/>
      <c r="H115" s="49"/>
      <c r="I115" s="49"/>
      <c r="S115" s="46"/>
      <c r="T115" s="31"/>
      <c r="W115" s="27"/>
      <c r="Z115" s="199">
        <f>1+0.15*C111</f>
        <v>1.3</v>
      </c>
      <c r="AD115" s="1340"/>
      <c r="AE115" s="1340"/>
      <c r="AF115" s="1340"/>
    </row>
    <row r="116" spans="1:32" ht="13.5" thickBot="1">
      <c r="A116" s="625" t="s">
        <v>543</v>
      </c>
      <c r="B116" s="623"/>
      <c r="C116" s="626"/>
      <c r="D116" s="620" t="s">
        <v>1214</v>
      </c>
      <c r="E116" s="620" t="s">
        <v>1215</v>
      </c>
      <c r="F116" s="620" t="s">
        <v>1216</v>
      </c>
      <c r="G116" s="620" t="s">
        <v>2140</v>
      </c>
      <c r="H116" s="620" t="s">
        <v>2139</v>
      </c>
      <c r="I116" s="620" t="s">
        <v>768</v>
      </c>
      <c r="J116" s="620" t="s">
        <v>1217</v>
      </c>
      <c r="K116" s="620" t="s">
        <v>2144</v>
      </c>
      <c r="L116" s="620" t="s">
        <v>1582</v>
      </c>
      <c r="M116" s="620" t="s">
        <v>2166</v>
      </c>
      <c r="N116" s="620"/>
      <c r="O116" s="620"/>
      <c r="P116" s="620" t="s">
        <v>771</v>
      </c>
      <c r="Q116" s="621" t="s">
        <v>770</v>
      </c>
      <c r="R116" s="46"/>
      <c r="S116" s="21"/>
      <c r="T116" s="31"/>
      <c r="W116" s="27"/>
      <c r="AD116" s="1340"/>
      <c r="AE116" s="1340"/>
      <c r="AF116" s="1340"/>
    </row>
    <row r="117" spans="1:32">
      <c r="A117" s="60" t="s">
        <v>1328</v>
      </c>
      <c r="B117" s="164">
        <v>1</v>
      </c>
      <c r="C117" s="57"/>
      <c r="D117" s="49"/>
      <c r="E117" s="49"/>
      <c r="F117" s="49"/>
      <c r="G117" s="49"/>
      <c r="H117" s="49"/>
      <c r="I117" s="49">
        <f>IF(Talents!O36="No",B117*120,0)</f>
        <v>120</v>
      </c>
      <c r="P117" s="49"/>
      <c r="Q117" s="49"/>
      <c r="AD117" s="1340"/>
      <c r="AE117" s="1340"/>
      <c r="AF117" s="1340"/>
    </row>
    <row r="118" spans="1:32">
      <c r="A118" s="60" t="s">
        <v>1333</v>
      </c>
      <c r="B118" s="164">
        <v>0</v>
      </c>
      <c r="C118" s="57"/>
      <c r="D118" s="49"/>
      <c r="E118" s="49">
        <f>IF(Talents!O36="No",B118*20,0)</f>
        <v>0</v>
      </c>
      <c r="F118" s="49">
        <f>IF(Talents!O36="No",B118*30,0)</f>
        <v>0</v>
      </c>
      <c r="G118" s="49"/>
      <c r="H118" s="49"/>
      <c r="I118" s="49">
        <f>IF(Talents!O36="No",B118*40,0)</f>
        <v>0</v>
      </c>
      <c r="P118" s="15"/>
      <c r="Q118" s="49"/>
      <c r="AD118" s="1340"/>
      <c r="AE118" s="1340"/>
      <c r="AF118" s="1340"/>
    </row>
    <row r="119" spans="1:32">
      <c r="A119" s="874"/>
      <c r="B119" s="875"/>
      <c r="C119" s="876"/>
      <c r="D119" s="877"/>
      <c r="E119" s="878"/>
      <c r="F119" s="878"/>
      <c r="G119" s="878"/>
      <c r="H119" s="878"/>
      <c r="I119" s="878"/>
      <c r="J119" s="879"/>
      <c r="K119" s="879"/>
      <c r="L119" s="880"/>
      <c r="M119" s="880"/>
      <c r="N119" s="880"/>
      <c r="O119" s="880"/>
      <c r="P119" s="878"/>
      <c r="Q119" s="878"/>
      <c r="AD119" s="1340"/>
      <c r="AE119" s="1340"/>
      <c r="AF119" s="1340"/>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40"/>
      <c r="AE120" s="1340"/>
      <c r="AF120" s="1340"/>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40"/>
      <c r="AE121" s="1340"/>
      <c r="AF121" s="1340"/>
    </row>
    <row r="122" spans="1:32">
      <c r="A122" s="60" t="s">
        <v>1329</v>
      </c>
      <c r="B122" s="164">
        <v>0</v>
      </c>
      <c r="C122" s="57"/>
      <c r="D122" s="49"/>
      <c r="E122" s="49"/>
      <c r="F122" s="49">
        <f>IF(Talents!O36="No",B122*-10,0)</f>
        <v>0</v>
      </c>
      <c r="G122" s="49"/>
      <c r="H122" s="49"/>
      <c r="I122" s="49">
        <f>IF(Talents!O36="No",B122*90,0)</f>
        <v>0</v>
      </c>
      <c r="P122" s="49"/>
      <c r="Q122" s="49"/>
      <c r="AD122" s="1340"/>
      <c r="AE122" s="1340"/>
      <c r="AF122" s="1340"/>
    </row>
    <row r="123" spans="1:32">
      <c r="A123" s="60" t="s">
        <v>1330</v>
      </c>
      <c r="B123" s="164">
        <v>0</v>
      </c>
      <c r="C123" s="57"/>
      <c r="D123" s="49"/>
      <c r="E123" s="49"/>
      <c r="F123" s="49"/>
      <c r="G123" s="49"/>
      <c r="H123" s="49"/>
      <c r="I123" s="49">
        <f>IF(Talents!O36="No",B123*60,0)</f>
        <v>0</v>
      </c>
      <c r="P123" s="49"/>
      <c r="Q123" s="49"/>
      <c r="AD123" s="1340"/>
      <c r="AE123" s="1340"/>
      <c r="AF123" s="1340"/>
    </row>
    <row r="124" spans="1:32">
      <c r="A124" s="60" t="s">
        <v>1327</v>
      </c>
      <c r="B124" s="164">
        <v>0</v>
      </c>
      <c r="C124" s="57"/>
      <c r="D124" s="49"/>
      <c r="E124" s="49">
        <f>IF(Talents!O36="No",B124*25,0)</f>
        <v>0</v>
      </c>
      <c r="F124" s="49"/>
      <c r="G124" s="49"/>
      <c r="H124" s="49"/>
      <c r="I124" s="49"/>
      <c r="P124" s="49"/>
      <c r="Q124" s="49"/>
      <c r="AD124" s="1340"/>
      <c r="AE124" s="1340"/>
      <c r="AF124" s="1340"/>
    </row>
    <row r="125" spans="1:32">
      <c r="A125" s="873" t="s">
        <v>2886</v>
      </c>
      <c r="B125" s="164">
        <v>0</v>
      </c>
      <c r="C125" s="57"/>
      <c r="D125" s="22">
        <f>IF(Talents!O36="No",$B$125*15,0)</f>
        <v>0</v>
      </c>
      <c r="E125" s="22">
        <f>IF(Talents!O36="No",$B$125*15,0)</f>
        <v>0</v>
      </c>
      <c r="F125" s="22">
        <f>IF(Talents!O36="No",$B$125*15,0)</f>
        <v>0</v>
      </c>
      <c r="G125" s="49"/>
      <c r="H125" s="49"/>
      <c r="I125" s="49"/>
      <c r="P125" s="49"/>
      <c r="Q125" s="49"/>
      <c r="AD125" s="1340"/>
      <c r="AE125" s="1340"/>
      <c r="AF125" s="1340"/>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40"/>
      <c r="AE126" s="1340"/>
      <c r="AF126" s="1340"/>
    </row>
    <row r="127" spans="1:32">
      <c r="A127" s="874"/>
      <c r="B127" s="875"/>
      <c r="C127" s="876"/>
      <c r="D127" s="877"/>
      <c r="E127" s="878"/>
      <c r="F127" s="878"/>
      <c r="G127" s="878"/>
      <c r="H127" s="878"/>
      <c r="I127" s="878"/>
      <c r="J127" s="878"/>
      <c r="K127" s="879"/>
      <c r="L127" s="880"/>
      <c r="M127" s="880"/>
      <c r="N127" s="880"/>
      <c r="O127" s="880"/>
      <c r="P127" s="880"/>
      <c r="Q127" s="880"/>
      <c r="T127" s="31"/>
      <c r="Y127" s="27"/>
      <c r="Z127" s="27"/>
      <c r="AA127" s="27"/>
      <c r="AD127" s="1340"/>
      <c r="AE127" s="1340"/>
      <c r="AF127" s="1340"/>
    </row>
    <row r="128" spans="1:32">
      <c r="A128" s="873"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40"/>
      <c r="AE128" s="1340"/>
      <c r="AF128" s="1340"/>
    </row>
    <row r="129" spans="1:32">
      <c r="A129" s="60" t="s">
        <v>1902</v>
      </c>
      <c r="B129" s="164">
        <v>0</v>
      </c>
      <c r="C129" s="57"/>
      <c r="D129" s="58"/>
      <c r="E129" s="49">
        <f>IF(Talents!O36="No",B129*20,0)</f>
        <v>0</v>
      </c>
      <c r="F129" s="49"/>
      <c r="G129" s="49"/>
      <c r="H129" s="49"/>
      <c r="I129" s="49"/>
      <c r="T129" s="31"/>
      <c r="V129" s="27"/>
      <c r="W129" s="27"/>
      <c r="X129" s="27"/>
      <c r="Y129" s="27"/>
      <c r="Z129" s="63"/>
      <c r="AA129" s="19"/>
      <c r="AD129" s="1340"/>
      <c r="AE129" s="1340"/>
      <c r="AF129" s="1340"/>
    </row>
    <row r="130" spans="1:32">
      <c r="A130" s="60" t="s">
        <v>1903</v>
      </c>
      <c r="B130" s="164">
        <v>0</v>
      </c>
      <c r="C130" s="57"/>
      <c r="E130" s="49"/>
      <c r="F130" s="49"/>
      <c r="G130" s="49"/>
      <c r="H130" s="49"/>
      <c r="I130" s="22">
        <f>IF(Talents!O36="No",B130*40,0)</f>
        <v>0</v>
      </c>
      <c r="J130" s="49"/>
      <c r="T130" s="31"/>
      <c r="V130" s="27"/>
      <c r="X130" s="27"/>
      <c r="Y130" s="27"/>
      <c r="Z130" s="63"/>
      <c r="AA130" s="19"/>
      <c r="AD130" s="1340"/>
      <c r="AE130" s="1340"/>
      <c r="AF130" s="1340"/>
    </row>
    <row r="131" spans="1:32">
      <c r="A131" s="874"/>
      <c r="B131" s="875"/>
      <c r="C131" s="881"/>
      <c r="D131" s="879"/>
      <c r="E131" s="878"/>
      <c r="F131" s="878"/>
      <c r="G131" s="878"/>
      <c r="H131" s="878"/>
      <c r="I131" s="882"/>
      <c r="J131" s="878"/>
      <c r="K131" s="879"/>
      <c r="L131" s="880"/>
      <c r="M131" s="880"/>
      <c r="N131" s="880"/>
      <c r="O131" s="880"/>
      <c r="P131" s="880"/>
      <c r="Q131" s="880"/>
      <c r="T131" s="31"/>
      <c r="V131" s="27"/>
      <c r="X131" s="27"/>
      <c r="Y131" s="27"/>
      <c r="Z131" s="63"/>
      <c r="AA131" s="19"/>
      <c r="AD131" s="1340"/>
      <c r="AE131" s="1340"/>
      <c r="AF131" s="1340"/>
    </row>
    <row r="132" spans="1:32">
      <c r="A132" s="60" t="s">
        <v>1325</v>
      </c>
      <c r="B132" s="164">
        <v>1</v>
      </c>
      <c r="C132" s="57"/>
      <c r="E132" s="49">
        <f>IF(Talents!O36="No",B132*20,0)</f>
        <v>20</v>
      </c>
      <c r="F132" s="49"/>
      <c r="G132" s="49"/>
      <c r="H132" s="49"/>
      <c r="I132" s="49"/>
      <c r="T132" s="31"/>
      <c r="AD132" s="1340"/>
      <c r="AE132" s="1340"/>
      <c r="AF132" s="1340"/>
    </row>
    <row r="133" spans="1:32">
      <c r="A133" s="60" t="s">
        <v>1326</v>
      </c>
      <c r="B133" s="164">
        <v>1</v>
      </c>
      <c r="C133" s="57"/>
      <c r="D133" s="49">
        <f>IF(Talents!O36="No",B133*20,0)</f>
        <v>20</v>
      </c>
      <c r="E133" s="49"/>
      <c r="F133" s="49"/>
      <c r="G133" s="49"/>
      <c r="H133" s="49"/>
      <c r="J133" s="49"/>
      <c r="T133" s="31"/>
      <c r="AD133" s="1340"/>
      <c r="AE133" s="1340"/>
      <c r="AF133" s="1340"/>
    </row>
    <row r="134" spans="1:32">
      <c r="A134" s="874"/>
      <c r="B134" s="875"/>
      <c r="C134" s="881"/>
      <c r="D134" s="878"/>
      <c r="E134" s="878"/>
      <c r="F134" s="878"/>
      <c r="G134" s="878"/>
      <c r="H134" s="878"/>
      <c r="I134" s="879"/>
      <c r="J134" s="878"/>
      <c r="K134" s="879"/>
      <c r="L134" s="880"/>
      <c r="M134" s="880"/>
      <c r="N134" s="880"/>
      <c r="O134" s="880"/>
      <c r="P134" s="880"/>
      <c r="Q134" s="880"/>
      <c r="T134" s="31"/>
      <c r="AD134" s="1340"/>
      <c r="AE134" s="1340"/>
      <c r="AF134" s="1340"/>
    </row>
    <row r="135" spans="1:32">
      <c r="A135" s="60" t="s">
        <v>1334</v>
      </c>
      <c r="B135" s="164">
        <v>1</v>
      </c>
      <c r="C135" s="57"/>
      <c r="D135" s="49"/>
      <c r="E135" s="49"/>
      <c r="F135" s="49"/>
      <c r="G135" s="49"/>
      <c r="H135" s="49"/>
      <c r="I135" s="49"/>
      <c r="P135" s="23">
        <f>IF(Talents!O36="No",IF(time=0, B135*400*15/120, 0),0)</f>
        <v>0</v>
      </c>
      <c r="Q135" s="49"/>
      <c r="AD135" s="1340"/>
      <c r="AE135" s="1340"/>
      <c r="AF135" s="1340"/>
    </row>
    <row r="136" spans="1:32">
      <c r="A136" s="60" t="s">
        <v>1332</v>
      </c>
      <c r="B136" s="164">
        <v>1</v>
      </c>
      <c r="C136" s="57"/>
      <c r="D136" s="49"/>
      <c r="E136" s="49"/>
      <c r="F136" s="49"/>
      <c r="G136" s="49"/>
      <c r="H136" s="49"/>
      <c r="I136" s="49"/>
      <c r="P136" s="49">
        <f>IF(Talents!O36="No",IF(time=0, B136*80*30/120, 0),0)</f>
        <v>0</v>
      </c>
      <c r="Q136" s="49"/>
      <c r="AD136" s="1340"/>
      <c r="AE136" s="1340"/>
      <c r="AF136" s="1340"/>
    </row>
    <row r="137" spans="1:32" ht="13.5" customHeight="1">
      <c r="A137" s="60" t="s">
        <v>1331</v>
      </c>
      <c r="B137" s="164">
        <v>0</v>
      </c>
      <c r="C137" s="57"/>
      <c r="D137" s="49"/>
      <c r="E137" s="49"/>
      <c r="F137" s="49"/>
      <c r="G137" s="49"/>
      <c r="H137" s="49"/>
      <c r="I137" s="49">
        <f>IF(AND(Talents!O36="No",B136=0),IF(time=0, B137*60*30/120, 0),0)</f>
        <v>0</v>
      </c>
      <c r="P137" s="49"/>
      <c r="Q137" s="49"/>
      <c r="AD137" s="1340"/>
      <c r="AE137" s="1340"/>
      <c r="AF137" s="1340"/>
    </row>
    <row r="138" spans="1:32">
      <c r="A138" s="60" t="s">
        <v>1335</v>
      </c>
      <c r="B138" s="164">
        <v>1</v>
      </c>
      <c r="C138" s="57"/>
      <c r="D138" s="49"/>
      <c r="E138" s="49"/>
      <c r="F138" s="49"/>
      <c r="G138" s="49"/>
      <c r="H138" s="49"/>
      <c r="I138" s="49"/>
      <c r="P138" s="15"/>
      <c r="Q138" s="49"/>
      <c r="AD138" s="1340"/>
      <c r="AE138" s="1340"/>
      <c r="AF138" s="1340"/>
    </row>
    <row r="139" spans="1:32">
      <c r="A139" s="60" t="s">
        <v>1336</v>
      </c>
      <c r="B139" s="164">
        <v>0</v>
      </c>
      <c r="C139" s="57"/>
      <c r="D139" s="49"/>
      <c r="E139" s="49"/>
      <c r="F139" s="49"/>
      <c r="G139" s="49"/>
      <c r="H139" s="49"/>
      <c r="I139" s="49"/>
      <c r="P139" s="15"/>
      <c r="Q139" s="49"/>
      <c r="AD139" s="1340"/>
      <c r="AE139" s="1340"/>
      <c r="AF139" s="1340"/>
    </row>
    <row r="140" spans="1:32">
      <c r="A140" s="888" t="s">
        <v>2887</v>
      </c>
      <c r="B140" s="885">
        <v>0</v>
      </c>
      <c r="C140" s="57"/>
      <c r="D140" s="22"/>
      <c r="E140" s="22"/>
      <c r="F140" s="22"/>
      <c r="G140" s="22"/>
      <c r="H140" s="22">
        <f>IF(Talents!O36="No",B140*20,0)</f>
        <v>0</v>
      </c>
      <c r="I140" s="22"/>
      <c r="J140" s="21"/>
      <c r="K140" s="21"/>
      <c r="L140" s="50"/>
      <c r="M140" s="50"/>
      <c r="N140" s="50"/>
      <c r="O140" s="50"/>
      <c r="P140" s="22"/>
      <c r="Q140" s="22"/>
      <c r="AD140" s="1340"/>
      <c r="AE140" s="1340"/>
      <c r="AF140" s="1340"/>
    </row>
    <row r="141" spans="1:32">
      <c r="A141" s="60"/>
      <c r="B141" s="164"/>
      <c r="C141" s="27"/>
      <c r="D141" s="22"/>
      <c r="E141" s="49"/>
      <c r="F141" s="49"/>
      <c r="G141" s="49"/>
      <c r="H141" s="49"/>
      <c r="I141" s="49"/>
      <c r="P141" s="49"/>
      <c r="Q141" s="49"/>
      <c r="AD141" s="1340"/>
      <c r="AE141" s="1340"/>
      <c r="AF141" s="1340"/>
    </row>
    <row r="142" spans="1:32" ht="13.5" thickBot="1">
      <c r="B142" s="15"/>
      <c r="C142" s="15"/>
      <c r="D142" s="189"/>
      <c r="E142" s="15"/>
      <c r="F142" s="15"/>
      <c r="G142" s="15"/>
      <c r="H142" s="15"/>
      <c r="I142" s="15"/>
      <c r="J142" s="15"/>
      <c r="K142" s="15"/>
      <c r="L142" s="15"/>
      <c r="M142" s="15"/>
      <c r="N142" s="15"/>
      <c r="O142" s="15"/>
      <c r="P142" s="15"/>
      <c r="Q142" s="15"/>
      <c r="R142" s="15"/>
      <c r="S142" s="15"/>
      <c r="AD142" s="1340"/>
      <c r="AE142" s="1340"/>
      <c r="AF142" s="1340"/>
    </row>
    <row r="143" spans="1:32" ht="13.5" thickBot="1">
      <c r="B143" s="1424" t="s">
        <v>3046</v>
      </c>
      <c r="C143" s="1425"/>
      <c r="D143" s="1151">
        <f>D78+SUM(D80:D141)</f>
        <v>262.68</v>
      </c>
      <c r="E143" s="1151">
        <f>E78+SUM(E80:E141)*(1+Talents!F33/100)*(1+Talents!I36*3/100)</f>
        <v>787.66628120336588</v>
      </c>
      <c r="F143" s="1151">
        <f>F78+SUM(F80:F141)*(1+Talents!F33/50)</f>
        <v>615.59680000000003</v>
      </c>
      <c r="G143" s="1151">
        <f>SUM(G78:G141)</f>
        <v>159.38461538461539</v>
      </c>
      <c r="H143" s="1151">
        <f>SUM(H78:H141)</f>
        <v>440.84615384615381</v>
      </c>
      <c r="I143" s="1151">
        <f>(SUM(I10:I76)+SUM(I82:I142)+D143+E143+120+Y33+IF(time=0,0,'Cooldowns Calc'!Z1))*deadliness*(1+IF(Talents!O36="No",unlrage*0.1,0))+1*deadliness*(1+unlrage*0.1)+1*deadliness*(1+unlrage*0.1)</f>
        <v>3165.5289383329646</v>
      </c>
      <c r="J143" s="1151">
        <f>SUM(J78:J141)</f>
        <v>0</v>
      </c>
      <c r="K143" s="1151">
        <f>SUM(K78:K141)</f>
        <v>0</v>
      </c>
      <c r="L143" s="1151">
        <f>SUM(L78:L141)</f>
        <v>53.42307692307692</v>
      </c>
      <c r="M143" s="1151">
        <f>SUM(M78:M141)</f>
        <v>0</v>
      </c>
      <c r="N143" s="1151"/>
      <c r="O143" s="1151"/>
      <c r="P143" s="1151">
        <f>SUM(P78:P142)</f>
        <v>127.49804426656831</v>
      </c>
      <c r="Q143" s="1152">
        <f>SUM(Q78:Q142)</f>
        <v>4010</v>
      </c>
      <c r="AD143" s="1340"/>
      <c r="AE143" s="1340"/>
      <c r="AF143" s="1340"/>
    </row>
    <row r="144" spans="1:32">
      <c r="Q144" s="15"/>
      <c r="R144" s="15"/>
      <c r="S144" s="15"/>
      <c r="AD144" s="1340"/>
      <c r="AE144" s="1340"/>
      <c r="AF144" s="1340"/>
    </row>
    <row r="145" spans="1:32" ht="13.5" thickBot="1">
      <c r="A145" s="313" t="s">
        <v>1679</v>
      </c>
      <c r="Q145" s="15"/>
      <c r="R145" s="15"/>
      <c r="S145" s="15"/>
      <c r="AD145" s="1340"/>
      <c r="AE145" s="1340"/>
      <c r="AF145" s="1340"/>
    </row>
    <row r="146" spans="1:32" ht="13.5" thickBot="1">
      <c r="B146" s="650" t="s">
        <v>1599</v>
      </c>
      <c r="C146" s="620"/>
      <c r="D146" s="637" t="s">
        <v>1214</v>
      </c>
      <c r="E146" s="637" t="s">
        <v>1215</v>
      </c>
      <c r="F146" s="637" t="s">
        <v>1216</v>
      </c>
      <c r="G146" s="638" t="s">
        <v>2140</v>
      </c>
      <c r="H146" s="638" t="s">
        <v>2139</v>
      </c>
      <c r="I146" s="637" t="s">
        <v>768</v>
      </c>
      <c r="J146" s="637" t="s">
        <v>1217</v>
      </c>
      <c r="K146" s="637" t="s">
        <v>2144</v>
      </c>
      <c r="L146" s="639" t="s">
        <v>1582</v>
      </c>
      <c r="M146" s="637" t="s">
        <v>2166</v>
      </c>
      <c r="N146" s="637"/>
      <c r="O146" s="637"/>
      <c r="P146" s="639" t="s">
        <v>771</v>
      </c>
      <c r="Q146" s="640" t="s">
        <v>770</v>
      </c>
      <c r="R146" s="639" t="s">
        <v>1220</v>
      </c>
      <c r="S146" s="639" t="s">
        <v>1728</v>
      </c>
      <c r="T146" s="639" t="s">
        <v>1222</v>
      </c>
      <c r="U146" s="639" t="s">
        <v>1223</v>
      </c>
      <c r="V146" s="641" t="s">
        <v>1224</v>
      </c>
      <c r="AD146" s="1340"/>
      <c r="AE146" s="1340"/>
      <c r="AF146" s="1340"/>
    </row>
    <row r="147" spans="1:32">
      <c r="A147" s="313" t="s">
        <v>14</v>
      </c>
      <c r="B147" s="44" t="s">
        <v>1596</v>
      </c>
      <c r="C147" s="44"/>
      <c r="D147" s="44"/>
      <c r="E147" s="316"/>
      <c r="F147" s="316"/>
      <c r="G147" s="316"/>
      <c r="H147" s="316"/>
      <c r="I147" s="316"/>
      <c r="J147" s="316"/>
      <c r="K147" s="316"/>
      <c r="L147" s="316"/>
      <c r="M147" s="316"/>
      <c r="N147" s="316"/>
      <c r="O147" s="316"/>
      <c r="P147" s="316"/>
      <c r="Q147" s="316"/>
      <c r="R147" s="314" t="s">
        <v>1033</v>
      </c>
      <c r="S147" s="315"/>
      <c r="T147" s="15">
        <v>1</v>
      </c>
      <c r="U147" s="15">
        <v>1</v>
      </c>
      <c r="V147" s="15">
        <v>2</v>
      </c>
      <c r="AD147" s="1340"/>
      <c r="AE147" s="1340"/>
      <c r="AF147" s="1340"/>
    </row>
    <row r="148" spans="1:32">
      <c r="A148" s="313" t="s">
        <v>15</v>
      </c>
      <c r="B148" s="44" t="s">
        <v>1597</v>
      </c>
      <c r="C148" s="44"/>
      <c r="D148" s="44"/>
      <c r="E148" s="316"/>
      <c r="F148" s="316"/>
      <c r="G148" s="316"/>
      <c r="H148" s="316"/>
      <c r="I148" s="316"/>
      <c r="J148" s="316"/>
      <c r="K148" s="316"/>
      <c r="L148" s="316"/>
      <c r="M148" s="316"/>
      <c r="N148" s="316"/>
      <c r="O148" s="316"/>
      <c r="P148" s="316"/>
      <c r="Q148" s="316"/>
      <c r="R148" s="314" t="s">
        <v>1033</v>
      </c>
      <c r="S148" s="315"/>
      <c r="T148" s="15">
        <v>1</v>
      </c>
      <c r="U148" s="15">
        <v>1</v>
      </c>
      <c r="V148" s="15">
        <v>2</v>
      </c>
      <c r="AD148" s="1340"/>
      <c r="AE148" s="1340"/>
      <c r="AF148" s="1340"/>
    </row>
    <row r="149" spans="1:32">
      <c r="A149" s="313" t="s">
        <v>1721</v>
      </c>
      <c r="B149" s="44" t="s">
        <v>1598</v>
      </c>
      <c r="C149" s="44"/>
      <c r="D149" s="44"/>
      <c r="E149" s="316"/>
      <c r="F149" s="316"/>
      <c r="G149" s="316"/>
      <c r="H149" s="316"/>
      <c r="I149" s="316"/>
      <c r="J149" s="316"/>
      <c r="K149" s="316"/>
      <c r="L149" s="316"/>
      <c r="M149" s="316"/>
      <c r="N149" s="316"/>
      <c r="O149" s="316"/>
      <c r="P149" s="316"/>
      <c r="Q149" s="316"/>
      <c r="R149" s="314" t="s">
        <v>1033</v>
      </c>
      <c r="S149" s="315"/>
      <c r="T149" s="15">
        <v>1</v>
      </c>
      <c r="U149" s="15">
        <v>1</v>
      </c>
      <c r="V149" s="15">
        <v>2</v>
      </c>
      <c r="AD149" s="1340"/>
      <c r="AE149" s="1340"/>
      <c r="AF149" s="1340"/>
    </row>
    <row r="150" spans="1:32">
      <c r="A150" s="313" t="s">
        <v>1722</v>
      </c>
      <c r="B150" s="44" t="s">
        <v>1600</v>
      </c>
      <c r="C150" s="44"/>
      <c r="D150" s="44"/>
      <c r="E150" s="316"/>
      <c r="F150" s="316"/>
      <c r="G150" s="316"/>
      <c r="H150" s="316"/>
      <c r="I150" s="316"/>
      <c r="J150" s="316"/>
      <c r="K150" s="316"/>
      <c r="L150" s="316"/>
      <c r="M150" s="316"/>
      <c r="N150" s="316"/>
      <c r="O150" s="316"/>
      <c r="P150" s="316"/>
      <c r="Q150" s="316"/>
      <c r="R150" s="314" t="s">
        <v>1033</v>
      </c>
      <c r="S150" s="315"/>
      <c r="T150" s="15">
        <v>1</v>
      </c>
      <c r="U150" s="15">
        <v>1</v>
      </c>
      <c r="V150" s="15">
        <v>2</v>
      </c>
      <c r="AD150" s="1340"/>
      <c r="AE150" s="1340"/>
      <c r="AF150" s="1340"/>
    </row>
    <row r="151" spans="1:32">
      <c r="A151" s="313" t="s">
        <v>1723</v>
      </c>
      <c r="B151" s="44" t="s">
        <v>1601</v>
      </c>
      <c r="C151" s="44"/>
      <c r="D151" s="44"/>
      <c r="E151" s="316"/>
      <c r="F151" s="316"/>
      <c r="G151" s="316"/>
      <c r="H151" s="316"/>
      <c r="I151" s="316"/>
      <c r="J151" s="316"/>
      <c r="K151" s="316"/>
      <c r="L151" s="316"/>
      <c r="M151" s="316"/>
      <c r="N151" s="316"/>
      <c r="O151" s="316"/>
      <c r="P151" s="316"/>
      <c r="Q151" s="316"/>
      <c r="R151" s="314" t="s">
        <v>1033</v>
      </c>
      <c r="S151" s="315"/>
      <c r="T151" s="15">
        <v>1</v>
      </c>
      <c r="U151" s="15">
        <v>1</v>
      </c>
      <c r="V151" s="15">
        <v>2</v>
      </c>
      <c r="AD151" s="1340"/>
      <c r="AE151" s="1340"/>
      <c r="AF151" s="1340"/>
    </row>
    <row r="152" spans="1:32">
      <c r="A152" s="313" t="s">
        <v>1724</v>
      </c>
      <c r="B152" s="44" t="s">
        <v>1602</v>
      </c>
      <c r="C152" s="44"/>
      <c r="D152" s="44"/>
      <c r="E152" s="316"/>
      <c r="F152" s="316"/>
      <c r="G152" s="316"/>
      <c r="H152" s="316"/>
      <c r="I152" s="316"/>
      <c r="J152" s="316"/>
      <c r="K152" s="316"/>
      <c r="L152" s="316"/>
      <c r="M152" s="316"/>
      <c r="N152" s="316"/>
      <c r="O152" s="316"/>
      <c r="P152" s="316"/>
      <c r="Q152" s="316"/>
      <c r="R152" s="314" t="s">
        <v>1033</v>
      </c>
      <c r="S152" s="315"/>
      <c r="T152" s="15">
        <v>1</v>
      </c>
      <c r="U152" s="15">
        <v>1</v>
      </c>
      <c r="V152" s="15">
        <v>2</v>
      </c>
      <c r="AD152" s="1340"/>
      <c r="AE152" s="1340"/>
      <c r="AF152" s="1340"/>
    </row>
    <row r="153" spans="1:32">
      <c r="A153" s="313" t="s">
        <v>1725</v>
      </c>
      <c r="B153" s="44" t="s">
        <v>1603</v>
      </c>
      <c r="C153" s="44"/>
      <c r="D153" s="44"/>
      <c r="E153" s="316"/>
      <c r="F153" s="316"/>
      <c r="G153" s="316"/>
      <c r="H153" s="316"/>
      <c r="I153" s="316"/>
      <c r="J153" s="316"/>
      <c r="K153" s="316"/>
      <c r="L153" s="316"/>
      <c r="M153" s="316"/>
      <c r="N153" s="316"/>
      <c r="O153" s="316"/>
      <c r="P153" s="316"/>
      <c r="Q153" s="316"/>
      <c r="R153" s="314" t="s">
        <v>1033</v>
      </c>
      <c r="S153" s="315"/>
      <c r="T153" s="15">
        <v>1</v>
      </c>
      <c r="U153" s="15">
        <v>1</v>
      </c>
      <c r="V153" s="15">
        <v>2</v>
      </c>
      <c r="AD153" s="1340"/>
      <c r="AE153" s="1340"/>
      <c r="AF153" s="1340"/>
    </row>
    <row r="154" spans="1:32">
      <c r="A154" s="313" t="s">
        <v>1726</v>
      </c>
      <c r="B154" s="44" t="s">
        <v>1604</v>
      </c>
      <c r="C154" s="44"/>
      <c r="D154" s="44"/>
      <c r="E154" s="316"/>
      <c r="F154" s="316"/>
      <c r="G154" s="316"/>
      <c r="H154" s="316"/>
      <c r="I154" s="316"/>
      <c r="J154" s="316"/>
      <c r="K154" s="316"/>
      <c r="L154" s="316"/>
      <c r="M154" s="316"/>
      <c r="N154" s="316"/>
      <c r="O154" s="316"/>
      <c r="P154" s="316"/>
      <c r="Q154" s="316"/>
      <c r="R154" s="314" t="s">
        <v>1033</v>
      </c>
      <c r="S154" s="315"/>
      <c r="T154" s="15">
        <v>1</v>
      </c>
      <c r="U154" s="15">
        <v>1</v>
      </c>
      <c r="V154" s="15">
        <v>2</v>
      </c>
      <c r="AD154" s="1340"/>
      <c r="AE154" s="1340"/>
      <c r="AF154" s="1340"/>
    </row>
    <row r="155" spans="1:32">
      <c r="A155" s="313" t="s">
        <v>2208</v>
      </c>
      <c r="B155" s="44" t="s">
        <v>1727</v>
      </c>
      <c r="C155" s="44"/>
      <c r="D155" s="44"/>
      <c r="E155" s="316"/>
      <c r="F155" s="316"/>
      <c r="G155" s="316"/>
      <c r="H155" s="316"/>
      <c r="I155" s="316"/>
      <c r="J155" s="316"/>
      <c r="K155" s="316"/>
      <c r="L155" s="316"/>
      <c r="M155" s="316"/>
      <c r="N155" s="316"/>
      <c r="O155" s="316"/>
      <c r="P155" s="316"/>
      <c r="Q155" s="316"/>
      <c r="R155" s="314" t="s">
        <v>1033</v>
      </c>
      <c r="S155" s="315"/>
      <c r="T155" s="20"/>
      <c r="U155" s="20"/>
      <c r="V155" s="20"/>
      <c r="AD155" s="1340"/>
      <c r="AE155" s="1340"/>
      <c r="AF155" s="1340"/>
    </row>
    <row r="156" spans="1:32">
      <c r="A156" s="313" t="s">
        <v>461</v>
      </c>
      <c r="B156" s="44" t="s">
        <v>1727</v>
      </c>
      <c r="C156" s="44"/>
      <c r="D156" s="44"/>
      <c r="E156" s="316"/>
      <c r="F156" s="316"/>
      <c r="G156" s="316"/>
      <c r="H156" s="316"/>
      <c r="I156" s="316"/>
      <c r="J156" s="316"/>
      <c r="K156" s="316"/>
      <c r="L156" s="316"/>
      <c r="M156" s="316"/>
      <c r="N156" s="316"/>
      <c r="O156" s="316"/>
      <c r="P156" s="316"/>
      <c r="Q156" s="316"/>
      <c r="R156" s="314" t="s">
        <v>1048</v>
      </c>
      <c r="S156" s="315"/>
      <c r="T156" s="20"/>
      <c r="U156" s="20"/>
      <c r="V156" s="20"/>
      <c r="AD156" s="1340"/>
      <c r="AE156" s="1340"/>
      <c r="AF156" s="1340"/>
    </row>
    <row r="157" spans="1:32">
      <c r="A157" s="313" t="s">
        <v>437</v>
      </c>
      <c r="B157" s="44" t="s">
        <v>1727</v>
      </c>
      <c r="C157" s="44"/>
      <c r="D157" s="44"/>
      <c r="E157" s="316"/>
      <c r="F157" s="316"/>
      <c r="G157" s="316"/>
      <c r="H157" s="316"/>
      <c r="I157" s="316"/>
      <c r="J157" s="316"/>
      <c r="K157" s="316"/>
      <c r="L157" s="316"/>
      <c r="M157" s="316"/>
      <c r="N157" s="316"/>
      <c r="O157" s="316"/>
      <c r="P157" s="316"/>
      <c r="Q157" s="316"/>
      <c r="R157" s="314" t="s">
        <v>1033</v>
      </c>
      <c r="S157" s="315"/>
      <c r="T157" s="20"/>
      <c r="U157" s="20"/>
      <c r="V157" s="20"/>
      <c r="AD157" s="1340"/>
      <c r="AE157" s="1340"/>
      <c r="AF157" s="1340"/>
    </row>
    <row r="158" spans="1:32">
      <c r="A158" s="313" t="s">
        <v>660</v>
      </c>
      <c r="B158" s="44" t="s">
        <v>1727</v>
      </c>
      <c r="C158" s="44"/>
      <c r="D158" s="44"/>
      <c r="E158" s="316"/>
      <c r="F158" s="316"/>
      <c r="G158" s="316"/>
      <c r="H158" s="316"/>
      <c r="I158" s="316"/>
      <c r="J158" s="316"/>
      <c r="K158" s="316"/>
      <c r="L158" s="316"/>
      <c r="M158" s="316"/>
      <c r="N158" s="316"/>
      <c r="O158" s="316"/>
      <c r="P158" s="316"/>
      <c r="Q158" s="316"/>
      <c r="R158" s="314" t="s">
        <v>1033</v>
      </c>
      <c r="S158" s="315"/>
      <c r="T158" s="20"/>
      <c r="U158" s="20"/>
      <c r="V158" s="20"/>
      <c r="AD158" s="1340"/>
      <c r="AE158" s="1340"/>
      <c r="AF158" s="1340"/>
    </row>
    <row r="159" spans="1:32">
      <c r="A159" s="313" t="s">
        <v>1117</v>
      </c>
      <c r="B159" s="44" t="s">
        <v>1727</v>
      </c>
      <c r="C159" s="44"/>
      <c r="D159" s="44"/>
      <c r="E159" s="316"/>
      <c r="F159" s="316"/>
      <c r="G159" s="316"/>
      <c r="H159" s="316"/>
      <c r="I159" s="316"/>
      <c r="J159" s="316"/>
      <c r="K159" s="316"/>
      <c r="L159" s="316"/>
      <c r="M159" s="316"/>
      <c r="N159" s="316"/>
      <c r="O159" s="316"/>
      <c r="P159" s="316"/>
      <c r="Q159" s="316"/>
      <c r="R159" s="314" t="s">
        <v>1033</v>
      </c>
      <c r="S159" s="315"/>
      <c r="T159" s="20"/>
      <c r="U159" s="20"/>
      <c r="V159" s="20"/>
      <c r="AD159" s="1340"/>
      <c r="AE159" s="1340"/>
      <c r="AF159" s="1340"/>
    </row>
    <row r="160" spans="1:32">
      <c r="A160" s="313" t="s">
        <v>1124</v>
      </c>
      <c r="B160" s="44" t="s">
        <v>1727</v>
      </c>
      <c r="C160" s="44"/>
      <c r="D160" s="44"/>
      <c r="E160" s="316"/>
      <c r="F160" s="316"/>
      <c r="G160" s="316"/>
      <c r="H160" s="316"/>
      <c r="I160" s="316"/>
      <c r="J160" s="316"/>
      <c r="K160" s="316"/>
      <c r="L160" s="316"/>
      <c r="M160" s="316"/>
      <c r="N160" s="316"/>
      <c r="O160" s="316"/>
      <c r="P160" s="316"/>
      <c r="Q160" s="316"/>
      <c r="R160" s="314" t="s">
        <v>1033</v>
      </c>
      <c r="S160" s="315"/>
      <c r="T160" s="20"/>
      <c r="U160" s="20"/>
      <c r="V160" s="20"/>
      <c r="AD160" s="1340"/>
      <c r="AE160" s="1340"/>
      <c r="AF160" s="1340"/>
    </row>
    <row r="161" spans="1:32">
      <c r="A161" s="313" t="s">
        <v>59</v>
      </c>
      <c r="B161" s="44" t="s">
        <v>1727</v>
      </c>
      <c r="C161" s="44"/>
      <c r="D161" s="44"/>
      <c r="E161" s="316"/>
      <c r="F161" s="316"/>
      <c r="G161" s="316"/>
      <c r="H161" s="316"/>
      <c r="I161" s="316"/>
      <c r="J161" s="316"/>
      <c r="K161" s="316"/>
      <c r="L161" s="316"/>
      <c r="M161" s="316"/>
      <c r="N161" s="316"/>
      <c r="O161" s="316"/>
      <c r="P161" s="316"/>
      <c r="Q161" s="316"/>
      <c r="R161" s="314" t="s">
        <v>1033</v>
      </c>
      <c r="S161" s="315"/>
      <c r="T161" s="20"/>
      <c r="U161" s="20"/>
      <c r="V161" s="20"/>
      <c r="AD161" s="1340"/>
      <c r="AE161" s="1340"/>
      <c r="AF161" s="1340"/>
    </row>
    <row r="162" spans="1:32">
      <c r="A162" s="313" t="s">
        <v>2075</v>
      </c>
      <c r="B162" s="44" t="s">
        <v>1727</v>
      </c>
      <c r="C162" s="44"/>
      <c r="D162" s="44"/>
      <c r="E162" s="316"/>
      <c r="F162" s="316"/>
      <c r="G162" s="316"/>
      <c r="H162" s="316"/>
      <c r="I162" s="316"/>
      <c r="J162" s="316"/>
      <c r="K162" s="316"/>
      <c r="L162" s="316"/>
      <c r="M162" s="316"/>
      <c r="N162" s="316"/>
      <c r="O162" s="316"/>
      <c r="P162" s="316"/>
      <c r="Q162" s="316"/>
      <c r="R162" s="314" t="s">
        <v>1033</v>
      </c>
      <c r="S162" s="315"/>
      <c r="T162" s="20"/>
      <c r="U162" s="20"/>
      <c r="V162" s="20"/>
      <c r="AD162" s="1340"/>
      <c r="AE162" s="1340"/>
      <c r="AF162" s="1340"/>
    </row>
    <row r="163" spans="1:32">
      <c r="A163" s="313" t="s">
        <v>2078</v>
      </c>
      <c r="B163" s="44" t="s">
        <v>1727</v>
      </c>
      <c r="C163" s="44"/>
      <c r="D163" s="44"/>
      <c r="E163" s="316"/>
      <c r="F163" s="316"/>
      <c r="G163" s="316"/>
      <c r="H163" s="316"/>
      <c r="I163" s="316"/>
      <c r="J163" s="316"/>
      <c r="K163" s="316"/>
      <c r="L163" s="316"/>
      <c r="M163" s="316"/>
      <c r="N163" s="316"/>
      <c r="O163" s="316"/>
      <c r="P163" s="316"/>
      <c r="Q163" s="316"/>
      <c r="R163" s="314" t="s">
        <v>1033</v>
      </c>
      <c r="S163" s="315"/>
      <c r="T163" s="20"/>
      <c r="U163" s="20"/>
      <c r="V163" s="20"/>
      <c r="AD163" s="1340"/>
      <c r="AE163" s="1340"/>
      <c r="AF163" s="1340"/>
    </row>
    <row r="164" spans="1:32">
      <c r="A164" s="313" t="s">
        <v>2080</v>
      </c>
      <c r="B164" s="44" t="s">
        <v>1727</v>
      </c>
      <c r="C164" s="44"/>
      <c r="D164" s="44"/>
      <c r="E164" s="316"/>
      <c r="F164" s="316"/>
      <c r="G164" s="316"/>
      <c r="H164" s="316"/>
      <c r="I164" s="316"/>
      <c r="J164" s="316"/>
      <c r="K164" s="316"/>
      <c r="L164" s="316"/>
      <c r="M164" s="316"/>
      <c r="N164" s="316"/>
      <c r="O164" s="316"/>
      <c r="P164" s="316"/>
      <c r="Q164" s="316"/>
      <c r="R164" s="314" t="s">
        <v>1033</v>
      </c>
      <c r="S164" s="315"/>
      <c r="T164" s="20"/>
      <c r="U164" s="20"/>
      <c r="V164" s="20"/>
      <c r="AD164" s="1340"/>
      <c r="AE164" s="1340"/>
      <c r="AF164" s="1340"/>
    </row>
    <row r="165" spans="1:32">
      <c r="A165" s="313" t="s">
        <v>1415</v>
      </c>
      <c r="B165" s="44" t="s">
        <v>1727</v>
      </c>
      <c r="C165" s="44"/>
      <c r="D165" s="44"/>
      <c r="E165" s="316"/>
      <c r="F165" s="316"/>
      <c r="G165" s="316"/>
      <c r="H165" s="316"/>
      <c r="I165" s="316"/>
      <c r="J165" s="316"/>
      <c r="K165" s="316"/>
      <c r="L165" s="316"/>
      <c r="M165" s="316"/>
      <c r="N165" s="316"/>
      <c r="O165" s="316"/>
      <c r="P165" s="316"/>
      <c r="Q165" s="316"/>
      <c r="R165" s="314" t="s">
        <v>1033</v>
      </c>
      <c r="S165" s="315"/>
      <c r="T165" s="20"/>
      <c r="U165" s="20"/>
      <c r="V165" s="20"/>
      <c r="AD165" s="1340"/>
      <c r="AE165" s="1340"/>
      <c r="AF165" s="1340"/>
    </row>
    <row r="166" spans="1:32">
      <c r="A166" s="313" t="s">
        <v>670</v>
      </c>
      <c r="B166" s="44" t="s">
        <v>1727</v>
      </c>
      <c r="C166" s="44"/>
      <c r="D166" s="44"/>
      <c r="E166" s="316"/>
      <c r="F166" s="316"/>
      <c r="G166" s="316"/>
      <c r="H166" s="316"/>
      <c r="I166" s="316"/>
      <c r="J166" s="316"/>
      <c r="K166" s="316"/>
      <c r="L166" s="316"/>
      <c r="M166" s="316"/>
      <c r="N166" s="316"/>
      <c r="O166" s="316"/>
      <c r="P166" s="316"/>
      <c r="Q166" s="316"/>
      <c r="R166" s="314" t="s">
        <v>1033</v>
      </c>
      <c r="S166" s="315"/>
      <c r="T166" s="20"/>
      <c r="U166" s="20"/>
      <c r="V166" s="20"/>
      <c r="AD166" s="1340"/>
      <c r="AE166" s="1340"/>
      <c r="AF166" s="1340"/>
    </row>
    <row r="167" spans="1:32">
      <c r="A167" s="313" t="s">
        <v>670</v>
      </c>
      <c r="B167" s="44" t="s">
        <v>107</v>
      </c>
      <c r="C167" s="44"/>
      <c r="D167" s="44"/>
      <c r="E167" s="316"/>
      <c r="F167" s="316"/>
      <c r="G167" s="316"/>
      <c r="H167" s="316"/>
      <c r="I167" s="316"/>
      <c r="J167" s="316"/>
      <c r="K167" s="316"/>
      <c r="L167" s="316"/>
      <c r="M167" s="316"/>
      <c r="N167" s="316"/>
      <c r="O167" s="316"/>
      <c r="P167" s="316"/>
      <c r="Q167" s="316"/>
      <c r="R167" s="314" t="s">
        <v>1033</v>
      </c>
      <c r="S167" s="315"/>
      <c r="T167" s="20"/>
      <c r="U167" s="20"/>
      <c r="V167" s="20"/>
      <c r="AD167" s="1340"/>
      <c r="AE167" s="1340"/>
      <c r="AF167" s="1340"/>
    </row>
    <row r="168" spans="1:32">
      <c r="A168" s="313" t="s">
        <v>671</v>
      </c>
      <c r="B168" s="44" t="s">
        <v>1727</v>
      </c>
      <c r="C168" s="44"/>
      <c r="D168" s="44"/>
      <c r="E168" s="316"/>
      <c r="F168" s="316"/>
      <c r="G168" s="316"/>
      <c r="H168" s="316"/>
      <c r="I168" s="316"/>
      <c r="J168" s="316"/>
      <c r="K168" s="316"/>
      <c r="L168" s="316"/>
      <c r="M168" s="316"/>
      <c r="N168" s="316"/>
      <c r="O168" s="316"/>
      <c r="P168" s="316"/>
      <c r="Q168" s="316"/>
      <c r="R168" s="314" t="s">
        <v>1033</v>
      </c>
      <c r="S168" s="315"/>
      <c r="T168" s="20"/>
      <c r="U168" s="20"/>
      <c r="V168" s="20"/>
      <c r="AD168" s="1340"/>
      <c r="AE168" s="1340"/>
      <c r="AF168" s="1340"/>
    </row>
    <row r="169" spans="1:32">
      <c r="A169" s="313" t="s">
        <v>671</v>
      </c>
      <c r="B169" s="44" t="s">
        <v>107</v>
      </c>
      <c r="C169" s="44"/>
      <c r="D169" s="44"/>
      <c r="E169" s="316"/>
      <c r="F169" s="316"/>
      <c r="G169" s="316"/>
      <c r="H169" s="316"/>
      <c r="I169" s="316"/>
      <c r="J169" s="316"/>
      <c r="K169" s="316"/>
      <c r="L169" s="316"/>
      <c r="M169" s="316"/>
      <c r="N169" s="316"/>
      <c r="O169" s="316"/>
      <c r="P169" s="316"/>
      <c r="Q169" s="316"/>
      <c r="R169" s="314" t="s">
        <v>1033</v>
      </c>
      <c r="S169" s="315"/>
      <c r="T169" s="20"/>
      <c r="U169" s="20"/>
      <c r="V169" s="20"/>
      <c r="AD169" s="1340"/>
      <c r="AE169" s="1340"/>
      <c r="AF169" s="1340"/>
    </row>
    <row r="170" spans="1:32">
      <c r="AD170" s="1340"/>
      <c r="AE170" s="1340"/>
      <c r="AF170" s="1340"/>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2" priority="471" stopIfTrue="1">
      <formula>$X23</formula>
    </cfRule>
  </conditionalFormatting>
  <conditionalFormatting sqref="C8">
    <cfRule type="cellIs" dxfId="81" priority="18" stopIfTrue="1" operator="greaterThan">
      <formula>0</formula>
    </cfRule>
    <cfRule type="cellIs" dxfId="80" priority="19" stopIfTrue="1" operator="equal">
      <formula>0</formula>
    </cfRule>
    <cfRule type="cellIs" dxfId="79"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78" priority="488" stopIfTrue="1">
      <formula>$C13</formula>
    </cfRule>
  </conditionalFormatting>
  <conditionalFormatting sqref="U29:X29">
    <cfRule type="expression" dxfId="77" priority="489" stopIfTrue="1">
      <formula>$X29</formula>
    </cfRule>
  </conditionalFormatting>
  <conditionalFormatting sqref="A86">
    <cfRule type="expression" dxfId="76" priority="12" stopIfTrue="1">
      <formula>AND($B$77=1, OR(PlayerRace="Undead", PlayerRace="Orc", PlayerRace="Troll"))</formula>
    </cfRule>
  </conditionalFormatting>
  <conditionalFormatting sqref="A104">
    <cfRule type="expression" dxfId="75" priority="11" stopIfTrue="1">
      <formula>AND($B$77=1, OR(PlayerRace="Undead", PlayerRace="Orc", PlayerRace="Troll"))</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04" t="s">
        <v>1025</v>
      </c>
      <c r="B1" s="1451" t="str">
        <f>cycle</f>
        <v>Cycle: 1s/5r   SnD Slack: 1.24</v>
      </c>
      <c r="C1" s="1451"/>
      <c r="D1" s="1452"/>
      <c r="E1" s="1447" t="s">
        <v>591</v>
      </c>
      <c r="F1" s="1448"/>
      <c r="G1" s="1449" t="s">
        <v>592</v>
      </c>
      <c r="H1" s="1450"/>
      <c r="I1" s="1459" t="s">
        <v>593</v>
      </c>
      <c r="J1" s="1460"/>
      <c r="K1" s="1461"/>
      <c r="L1" s="1448"/>
      <c r="M1" s="1475" t="s">
        <v>2325</v>
      </c>
      <c r="N1" s="1476"/>
      <c r="O1" s="1476"/>
      <c r="P1" s="1476"/>
      <c r="Q1" s="1477"/>
    </row>
    <row r="2" spans="1:26" ht="12.75" customHeight="1" thickBot="1">
      <c r="A2" s="1505"/>
      <c r="B2" s="1453"/>
      <c r="C2" s="1453"/>
      <c r="D2" s="1454"/>
      <c r="E2" s="1076" t="s">
        <v>594</v>
      </c>
      <c r="F2" s="1016">
        <f>ap</f>
        <v>3165.5289383329646</v>
      </c>
      <c r="G2" s="907" t="s">
        <v>599</v>
      </c>
      <c r="H2" s="1016">
        <f>hp</f>
        <v>9674</v>
      </c>
      <c r="I2" s="1462"/>
      <c r="J2" s="1463"/>
      <c r="K2" s="1464"/>
      <c r="L2" s="908"/>
      <c r="M2" s="1484" t="s">
        <v>2320</v>
      </c>
      <c r="N2" s="1485"/>
      <c r="O2" s="1024" t="str">
        <f>ROUND(SUM('Damage Calc'!$J$2:$J$7),2)&amp;"  "</f>
        <v xml:space="preserve">1002.02  </v>
      </c>
      <c r="P2" s="1478" t="str">
        <f>ROUND(SUM('Damage Calc'!$J$2:$J$7)/'Damage Calc'!$J$16*100,0)&amp;"%  "</f>
        <v xml:space="preserve">64%  </v>
      </c>
      <c r="Q2" s="1479"/>
    </row>
    <row r="3" spans="1:26" ht="12.75" customHeight="1">
      <c r="A3" s="1443" t="s">
        <v>1538</v>
      </c>
      <c r="B3" s="1455">
        <f>'Damage Calc'!$J$16</f>
        <v>1555.182530256119</v>
      </c>
      <c r="C3" s="1455"/>
      <c r="D3" s="1456"/>
      <c r="E3" s="1012" t="s">
        <v>595</v>
      </c>
      <c r="F3" s="1013">
        <f>'Damage Calc'!Q2-Talents!F4</f>
        <v>0.26956097560975611</v>
      </c>
      <c r="G3" s="1012" t="s">
        <v>600</v>
      </c>
      <c r="H3" s="1013">
        <f>dodge</f>
        <v>0.38193314060168293</v>
      </c>
      <c r="I3" s="1465" t="s">
        <v>2316</v>
      </c>
      <c r="J3" s="1466"/>
      <c r="K3" s="1467"/>
      <c r="L3" s="1017">
        <f>CEILING(($F$4*100)*(10*conv),1)</f>
        <v>1</v>
      </c>
      <c r="M3" s="1498" t="str">
        <f>"  "&amp;instatklng&amp;" DPS"</f>
        <v xml:space="preserve">  Sinister Strike DPS</v>
      </c>
      <c r="N3" s="1499"/>
      <c r="O3" s="1081" t="str">
        <f>ROUND('Damage Calc'!$J$8,2)&amp;"  "</f>
        <v xml:space="preserve">327.58  </v>
      </c>
      <c r="P3" s="1480" t="str">
        <f>ROUND('Damage Calc'!$J$8/'Damage Calc'!$J$16*100,0)&amp;"%  "</f>
        <v xml:space="preserve">21%  </v>
      </c>
      <c r="Q3" s="1481"/>
    </row>
    <row r="4" spans="1:26" ht="12.75" customHeight="1" thickBot="1">
      <c r="A4" s="1444"/>
      <c r="B4" s="1457"/>
      <c r="C4" s="1457"/>
      <c r="D4" s="1458"/>
      <c r="E4" s="1078" t="s">
        <v>596</v>
      </c>
      <c r="F4" s="1018">
        <f>bMHmiss</f>
        <v>4.3902439024390283E-4</v>
      </c>
      <c r="G4" s="1019" t="s">
        <v>601</v>
      </c>
      <c r="H4" s="1020">
        <f>'Gear &amp; Buffs'!$J$143</f>
        <v>0</v>
      </c>
      <c r="I4" s="1468" t="s">
        <v>2317</v>
      </c>
      <c r="J4" s="1441"/>
      <c r="K4" s="1442"/>
      <c r="L4" s="1077">
        <f>'Damage Calc'!D34</f>
        <v>30</v>
      </c>
      <c r="M4" s="1500" t="s">
        <v>2321</v>
      </c>
      <c r="N4" s="1501"/>
      <c r="O4" s="1025" t="str">
        <f>ROUND('Damage Calc'!$J$10+'Damage Calc'!$J$11+'Damage Calc'!$J$12,2)&amp;"  "</f>
        <v xml:space="preserve">119.18  </v>
      </c>
      <c r="P4" s="1482" t="str">
        <f>ROUND(('Damage Calc'!$J$10+'Damage Calc'!$J$11+'Damage Calc'!$J$12)/'Damage Calc'!$J$16*100,0)&amp;"%  "</f>
        <v xml:space="preserve">8%  </v>
      </c>
      <c r="Q4" s="1483"/>
    </row>
    <row r="5" spans="1:26" ht="12.75" customHeight="1" thickBot="1">
      <c r="A5" s="1009" t="s">
        <v>1137</v>
      </c>
      <c r="B5" s="1445">
        <f>'Gear &amp; Buffs'!$C$7</f>
        <v>1555.182530256119</v>
      </c>
      <c r="C5" s="1445"/>
      <c r="D5" s="1446"/>
      <c r="E5" s="1012" t="s">
        <v>597</v>
      </c>
      <c r="F5" s="1013">
        <f>bMHcrit</f>
        <v>0.22111169225206101</v>
      </c>
      <c r="G5" s="1082" t="s">
        <v>1321</v>
      </c>
      <c r="H5" s="1013">
        <f>('Gear &amp; Buffs'!J143/(25*conv)+Talents!I17)/100</f>
        <v>0</v>
      </c>
      <c r="I5" s="1469"/>
      <c r="J5" s="1466"/>
      <c r="K5" s="1467"/>
      <c r="L5" s="1021"/>
      <c r="M5" s="1502" t="s">
        <v>2322</v>
      </c>
      <c r="N5" s="1503"/>
      <c r="O5" s="1083" t="str">
        <f>ROUND('Damage Calc'!$J$13+'Damage Calc'!$J$14+'Damage Calc'!$J$15+'Damage Calc'!$J$9,2)&amp;"  "</f>
        <v xml:space="preserve">106.4  </v>
      </c>
      <c r="P5" s="1520" t="str">
        <f>ROUND(('Damage Calc'!$J$13+'Damage Calc'!$J$14+'Damage Calc'!$J$15+'Damage Calc'!$J$9)/'Damage Calc'!$J$16*100,0)&amp;"%  "</f>
        <v xml:space="preserve">7%  </v>
      </c>
      <c r="Q5" s="1521"/>
    </row>
    <row r="6" spans="1:26" ht="12.75" customHeight="1" thickBot="1">
      <c r="A6" s="1156" t="s">
        <v>590</v>
      </c>
      <c r="B6" s="1157" t="str">
        <f>IF(($B$3-$B$5)&lt;0,ROUND($B$3-$B$5,2),"+"&amp;ROUND($B$3-$B$5,2))</f>
        <v>+0</v>
      </c>
      <c r="C6" s="1158"/>
      <c r="D6" s="1159" t="str">
        <f>IF(($B$6/$B$3)&lt;0,ROUND($B$6/$B$3*100,2)&amp;"%","+"&amp;ROUND($B$6/$B$3*100,2)&amp;"%")</f>
        <v>+0%</v>
      </c>
      <c r="E6" s="932" t="s">
        <v>635</v>
      </c>
      <c r="F6" s="1018">
        <f>bMHdod</f>
        <v>2.0000000000000004E-2</v>
      </c>
      <c r="G6" s="1022" t="s">
        <v>602</v>
      </c>
      <c r="H6" s="1018">
        <f>5%-((BossLevel-CharLevel)*0.2%)+(F18/100)+(ROUNDDOWN('Gear &amp; Buffs'!M143/defrating_def,0)*0.04/100)</f>
        <v>4.4000000000000004E-2</v>
      </c>
      <c r="I6" s="1440" t="s">
        <v>2318</v>
      </c>
      <c r="J6" s="1441"/>
      <c r="K6" s="1442"/>
      <c r="L6" s="1018">
        <f>sndup</f>
        <v>0.9966666666666667</v>
      </c>
      <c r="M6" s="1524" t="s">
        <v>2323</v>
      </c>
      <c r="N6" s="1525"/>
      <c r="O6" s="1010" t="str">
        <f>ROUND('Damage Calc'!$J$16,2)&amp;"  "</f>
        <v xml:space="preserve">1555.18  </v>
      </c>
      <c r="P6" s="1522" t="str">
        <f>"100%  "</f>
        <v xml:space="preserve">100%  </v>
      </c>
      <c r="Q6" s="1523"/>
    </row>
    <row r="7" spans="1:26" ht="12.75" customHeight="1">
      <c r="A7" s="1488"/>
      <c r="B7" s="1489"/>
      <c r="C7" s="1489"/>
      <c r="D7" s="1490"/>
      <c r="E7" s="1012" t="s">
        <v>634</v>
      </c>
      <c r="F7" s="1013">
        <f>bMHpar</f>
        <v>0</v>
      </c>
      <c r="G7" s="1082" t="s">
        <v>2168</v>
      </c>
      <c r="H7" s="1013">
        <f>MAX(5%+0.2%*(CharLevel-BossLevel)+(ROUNDDOWN('Gear &amp; Buffs'!M143/defrating_def,0)*0.04/100),0%)</f>
        <v>4.4000000000000004E-2</v>
      </c>
      <c r="I7" s="1469" t="s">
        <v>2319</v>
      </c>
      <c r="J7" s="1466"/>
      <c r="K7" s="1467"/>
      <c r="L7" s="1023">
        <f>ruptup</f>
        <v>0.98</v>
      </c>
      <c r="M7" s="1494" t="s">
        <v>2324</v>
      </c>
      <c r="N7" s="1495"/>
      <c r="O7" s="1011" t="str">
        <f>ROUND('Gear &amp; Buffs'!$C$7,2)&amp;"  "</f>
        <v xml:space="preserve">1555.18  </v>
      </c>
      <c r="P7" s="1528"/>
      <c r="Q7" s="1529"/>
    </row>
    <row r="8" spans="1:26" ht="12.75" customHeight="1" thickBot="1">
      <c r="A8" s="1491"/>
      <c r="B8" s="1492"/>
      <c r="C8" s="1492"/>
      <c r="D8" s="1493"/>
      <c r="E8" s="1014" t="s">
        <v>598</v>
      </c>
      <c r="F8" s="1079">
        <f>'Damage Calc'!$Q$42</f>
        <v>4010</v>
      </c>
      <c r="G8" s="1014" t="s">
        <v>2167</v>
      </c>
      <c r="H8" s="1015">
        <f>H3+H6+H7</f>
        <v>0.4699331406016829</v>
      </c>
      <c r="I8" s="1542" t="s">
        <v>1178</v>
      </c>
      <c r="J8" s="1543"/>
      <c r="K8" s="1544"/>
      <c r="L8" s="1080">
        <f>B3*0.71</f>
        <v>1104.1795964818443</v>
      </c>
      <c r="M8" s="1496" t="s">
        <v>2266</v>
      </c>
      <c r="N8" s="1497"/>
      <c r="O8" s="1026" t="str">
        <f>ROUND($O$6-'Gear &amp; Buffs'!$C$7,2)&amp;"  "</f>
        <v xml:space="preserve">0  </v>
      </c>
      <c r="P8" s="1526" t="str">
        <f>IF(($B$6/$B$3)&lt;0,ROUND($B$6/$B$3*100,2)&amp;"%  ","+"&amp;ROUND($B$6/$B$3*100,2)&amp;"%  ")</f>
        <v xml:space="preserve">+0%  </v>
      </c>
      <c r="Q8" s="1527"/>
    </row>
    <row r="9" spans="1:26" ht="7.5" customHeight="1" thickBot="1">
      <c r="M9" s="64"/>
      <c r="N9" s="64"/>
      <c r="O9" s="373"/>
    </row>
    <row r="10" spans="1:26" s="64" customFormat="1" ht="21.75" customHeight="1">
      <c r="A10" s="497"/>
      <c r="B10" s="498"/>
      <c r="C10" s="498"/>
      <c r="D10" s="1006"/>
      <c r="E10" s="1006">
        <v>1</v>
      </c>
      <c r="F10" s="1006">
        <v>1</v>
      </c>
      <c r="G10" s="498"/>
      <c r="H10" s="498"/>
      <c r="I10" s="499"/>
      <c r="K10" s="995"/>
      <c r="L10" s="1001"/>
      <c r="M10" s="1002"/>
      <c r="N10" s="1002"/>
      <c r="O10" s="1003"/>
      <c r="P10"/>
      <c r="Q10"/>
      <c r="R10" s="282">
        <v>1</v>
      </c>
      <c r="S10"/>
      <c r="T10"/>
      <c r="U10"/>
      <c r="V10"/>
      <c r="W10"/>
      <c r="X10"/>
      <c r="Y10"/>
    </row>
    <row r="11" spans="1:26" s="64" customFormat="1" ht="21.75" customHeight="1" thickBot="1">
      <c r="A11" s="990"/>
      <c r="B11" s="991"/>
      <c r="C11" s="991"/>
      <c r="D11" s="1532" t="s">
        <v>182</v>
      </c>
      <c r="E11" s="1532">
        <v>1</v>
      </c>
      <c r="F11" s="1532"/>
      <c r="G11" s="991"/>
      <c r="H11" s="991"/>
      <c r="I11" s="992"/>
      <c r="J11"/>
      <c r="K11" s="1004"/>
      <c r="L11" s="996"/>
      <c r="M11" s="996"/>
      <c r="N11" s="996"/>
      <c r="O11" s="1005"/>
      <c r="S11"/>
      <c r="T11"/>
      <c r="U11"/>
      <c r="V11"/>
      <c r="W11"/>
      <c r="X11"/>
      <c r="Y11"/>
      <c r="Z11"/>
    </row>
    <row r="12" spans="1:26" ht="21.75" customHeight="1" thickBot="1">
      <c r="A12" s="1486" t="s">
        <v>2146</v>
      </c>
      <c r="B12" s="1487"/>
      <c r="C12" s="1487"/>
      <c r="D12" s="1530" t="s">
        <v>2147</v>
      </c>
      <c r="E12" s="1487"/>
      <c r="F12" s="1487"/>
      <c r="G12" s="1530" t="s">
        <v>248</v>
      </c>
      <c r="H12" s="1487"/>
      <c r="I12" s="1531"/>
      <c r="K12" s="1007" t="s">
        <v>861</v>
      </c>
      <c r="L12" s="1008"/>
      <c r="M12" s="1008"/>
      <c r="N12" s="1008"/>
      <c r="O12" s="1003"/>
    </row>
    <row r="13" spans="1:26" ht="12.75" customHeight="1" thickBot="1">
      <c r="A13" s="1100" t="s">
        <v>2148</v>
      </c>
      <c r="B13" s="993"/>
      <c r="C13" s="1101" t="s">
        <v>2149</v>
      </c>
      <c r="D13" s="1104" t="s">
        <v>2148</v>
      </c>
      <c r="E13" s="994"/>
      <c r="F13" s="1105" t="s">
        <v>2149</v>
      </c>
      <c r="G13" s="1102" t="s">
        <v>2148</v>
      </c>
      <c r="H13" s="1102"/>
      <c r="I13" s="1103" t="s">
        <v>2149</v>
      </c>
      <c r="K13" s="1539" t="s">
        <v>881</v>
      </c>
      <c r="L13" s="1540"/>
      <c r="M13" s="1540"/>
      <c r="N13" s="1540">
        <v>1</v>
      </c>
      <c r="O13" s="1541"/>
      <c r="Q13" s="1533" t="s">
        <v>882</v>
      </c>
      <c r="R13" s="1534"/>
      <c r="S13" s="1534"/>
      <c r="T13" s="1534"/>
      <c r="U13" s="1534"/>
      <c r="V13" s="1535"/>
    </row>
    <row r="14" spans="1:26" ht="12.75" customHeight="1">
      <c r="A14" s="947" t="s">
        <v>134</v>
      </c>
      <c r="B14" s="948"/>
      <c r="C14" s="949">
        <v>0</v>
      </c>
      <c r="D14" s="950" t="s">
        <v>1511</v>
      </c>
      <c r="E14" s="951"/>
      <c r="F14" s="952">
        <v>3</v>
      </c>
      <c r="G14" s="953" t="s">
        <v>1513</v>
      </c>
      <c r="H14" s="954"/>
      <c r="I14" s="955">
        <v>0</v>
      </c>
      <c r="K14" s="1377" t="s">
        <v>2864</v>
      </c>
      <c r="L14" s="1056"/>
      <c r="M14" s="1056"/>
      <c r="N14" s="1378"/>
      <c r="O14" s="1067">
        <v>70</v>
      </c>
      <c r="Q14" s="1041">
        <v>8800</v>
      </c>
      <c r="R14" s="1042" t="s">
        <v>499</v>
      </c>
      <c r="S14" s="1043"/>
      <c r="T14" s="1043"/>
      <c r="U14" s="1043"/>
      <c r="V14" s="1044"/>
    </row>
    <row r="15" spans="1:26" ht="12.75" customHeight="1">
      <c r="A15" s="956" t="s">
        <v>1512</v>
      </c>
      <c r="B15" s="957"/>
      <c r="C15" s="958">
        <v>0</v>
      </c>
      <c r="D15" s="959" t="s">
        <v>2150</v>
      </c>
      <c r="E15" s="960"/>
      <c r="F15" s="961">
        <v>2</v>
      </c>
      <c r="G15" s="959" t="s">
        <v>2154</v>
      </c>
      <c r="H15" s="960"/>
      <c r="I15" s="962">
        <v>0</v>
      </c>
      <c r="K15" s="1377" t="s">
        <v>834</v>
      </c>
      <c r="L15" s="1056"/>
      <c r="M15" s="1056"/>
      <c r="N15" s="1378"/>
      <c r="O15" s="1067">
        <v>73</v>
      </c>
      <c r="Q15" s="928">
        <v>7685</v>
      </c>
      <c r="R15" s="929" t="s">
        <v>699</v>
      </c>
      <c r="S15" s="930"/>
      <c r="T15" s="930"/>
      <c r="U15" s="930"/>
      <c r="V15" s="931"/>
    </row>
    <row r="16" spans="1:26" ht="12.75" customHeight="1">
      <c r="A16" s="965" t="s">
        <v>135</v>
      </c>
      <c r="B16" s="963"/>
      <c r="C16" s="964">
        <v>5</v>
      </c>
      <c r="D16" s="965" t="s">
        <v>2152</v>
      </c>
      <c r="E16" s="963"/>
      <c r="F16" s="962">
        <v>0</v>
      </c>
      <c r="G16" s="966"/>
      <c r="H16" s="967"/>
      <c r="I16" s="968"/>
      <c r="K16" s="1379" t="s">
        <v>1297</v>
      </c>
      <c r="L16" s="1056"/>
      <c r="M16" s="1056"/>
      <c r="N16" s="1378"/>
      <c r="O16" s="1068" t="s">
        <v>1734</v>
      </c>
      <c r="Q16" s="928"/>
      <c r="R16" s="929" t="s">
        <v>3077</v>
      </c>
      <c r="S16" s="930"/>
      <c r="T16" s="930"/>
      <c r="U16" s="930"/>
      <c r="V16" s="931"/>
    </row>
    <row r="17" spans="1:22" ht="12.75" customHeight="1">
      <c r="A17" s="909" t="s">
        <v>2156</v>
      </c>
      <c r="B17" s="910"/>
      <c r="C17" s="911">
        <v>3</v>
      </c>
      <c r="D17" s="932" t="s">
        <v>2221</v>
      </c>
      <c r="E17" s="933"/>
      <c r="F17" s="914">
        <v>3</v>
      </c>
      <c r="G17" s="915" t="s">
        <v>1514</v>
      </c>
      <c r="H17" s="916"/>
      <c r="I17" s="917">
        <v>0</v>
      </c>
      <c r="K17" s="1377" t="s">
        <v>1212</v>
      </c>
      <c r="L17" s="1056"/>
      <c r="M17" s="1056"/>
      <c r="N17" s="1378"/>
      <c r="O17" s="1069" t="s">
        <v>144</v>
      </c>
      <c r="Q17" s="928" t="s">
        <v>883</v>
      </c>
      <c r="R17" s="929" t="s">
        <v>700</v>
      </c>
      <c r="S17" s="930"/>
      <c r="T17" s="930"/>
      <c r="U17" s="930"/>
      <c r="V17" s="931"/>
    </row>
    <row r="18" spans="1:22" ht="12.75" customHeight="1">
      <c r="A18" s="909" t="s">
        <v>411</v>
      </c>
      <c r="B18" s="910"/>
      <c r="C18" s="911">
        <v>2</v>
      </c>
      <c r="D18" s="912" t="s">
        <v>1515</v>
      </c>
      <c r="E18" s="913"/>
      <c r="F18" s="914">
        <v>0</v>
      </c>
      <c r="G18" s="915" t="s">
        <v>1516</v>
      </c>
      <c r="H18" s="916"/>
      <c r="I18" s="917">
        <v>0</v>
      </c>
      <c r="K18" s="1059" t="s">
        <v>2042</v>
      </c>
      <c r="L18" s="1056"/>
      <c r="M18" s="1056"/>
      <c r="N18" s="1378"/>
      <c r="O18" s="1069" t="s">
        <v>144</v>
      </c>
      <c r="Q18" s="928"/>
      <c r="R18" s="929" t="s">
        <v>3078</v>
      </c>
      <c r="S18" s="930"/>
      <c r="T18" s="930"/>
      <c r="U18" s="930"/>
      <c r="V18" s="931"/>
    </row>
    <row r="19" spans="1:22" ht="12.75" customHeight="1">
      <c r="A19" s="909" t="s">
        <v>629</v>
      </c>
      <c r="B19" s="910"/>
      <c r="C19" s="911">
        <v>0</v>
      </c>
      <c r="D19" s="909" t="s">
        <v>2222</v>
      </c>
      <c r="E19" s="913"/>
      <c r="F19" s="934">
        <v>5</v>
      </c>
      <c r="G19" s="915" t="s">
        <v>1517</v>
      </c>
      <c r="H19" s="916"/>
      <c r="I19" s="917">
        <v>0</v>
      </c>
      <c r="K19" s="1053" t="s">
        <v>3003</v>
      </c>
      <c r="L19" s="1054"/>
      <c r="M19" s="1054"/>
      <c r="N19" s="1055"/>
      <c r="O19" s="1069" t="s">
        <v>751</v>
      </c>
      <c r="Q19" s="928"/>
      <c r="R19" s="929" t="s">
        <v>3079</v>
      </c>
      <c r="S19" s="930"/>
      <c r="T19" s="930"/>
      <c r="U19" s="930"/>
      <c r="V19" s="931"/>
    </row>
    <row r="20" spans="1:22" ht="12.75" customHeight="1">
      <c r="A20" s="959" t="s">
        <v>163</v>
      </c>
      <c r="B20" s="960"/>
      <c r="C20" s="969">
        <v>1</v>
      </c>
      <c r="D20" s="970" t="s">
        <v>1518</v>
      </c>
      <c r="E20" s="971"/>
      <c r="F20" s="972">
        <v>0</v>
      </c>
      <c r="G20" s="973" t="s">
        <v>1519</v>
      </c>
      <c r="H20" s="971"/>
      <c r="I20" s="974">
        <v>0</v>
      </c>
      <c r="K20" s="1059" t="s">
        <v>1296</v>
      </c>
      <c r="L20" s="1056"/>
      <c r="M20" s="1056"/>
      <c r="N20" s="1378"/>
      <c r="O20" s="1068">
        <v>7685</v>
      </c>
      <c r="Q20" s="928"/>
      <c r="R20" s="929" t="s">
        <v>3076</v>
      </c>
      <c r="S20" s="930"/>
      <c r="T20" s="930"/>
      <c r="U20" s="930"/>
      <c r="V20" s="931"/>
    </row>
    <row r="21" spans="1:22" ht="12.75" customHeight="1" thickBot="1">
      <c r="A21" s="982" t="s">
        <v>1520</v>
      </c>
      <c r="B21" s="983"/>
      <c r="C21" s="977">
        <v>0</v>
      </c>
      <c r="D21" s="970" t="s">
        <v>1521</v>
      </c>
      <c r="E21" s="971"/>
      <c r="F21" s="972">
        <v>0</v>
      </c>
      <c r="G21" s="975" t="s">
        <v>1185</v>
      </c>
      <c r="H21" s="971"/>
      <c r="I21" s="961">
        <v>0</v>
      </c>
      <c r="K21" s="1059" t="s">
        <v>63</v>
      </c>
      <c r="L21" s="1056"/>
      <c r="M21" s="1056"/>
      <c r="N21" s="1378"/>
      <c r="O21" s="1069" t="s">
        <v>669</v>
      </c>
      <c r="Q21" s="1045">
        <v>6800</v>
      </c>
      <c r="R21" s="1046" t="s">
        <v>1400</v>
      </c>
      <c r="S21" s="1047"/>
      <c r="T21" s="1047"/>
      <c r="U21" s="1047"/>
      <c r="V21" s="1048"/>
    </row>
    <row r="22" spans="1:22" ht="12.75" customHeight="1" thickBot="1">
      <c r="A22" s="965" t="s">
        <v>2227</v>
      </c>
      <c r="B22" s="976"/>
      <c r="C22" s="977">
        <v>5</v>
      </c>
      <c r="D22" s="970" t="s">
        <v>1607</v>
      </c>
      <c r="E22" s="971"/>
      <c r="F22" s="972">
        <v>2</v>
      </c>
      <c r="G22" s="973" t="s">
        <v>1608</v>
      </c>
      <c r="H22" s="971"/>
      <c r="I22" s="974">
        <v>0</v>
      </c>
      <c r="K22" s="1536" t="s">
        <v>308</v>
      </c>
      <c r="L22" s="1537"/>
      <c r="M22" s="1537"/>
      <c r="N22" s="1537"/>
      <c r="O22" s="1538"/>
      <c r="Q22" s="928">
        <v>6200</v>
      </c>
      <c r="R22" s="929" t="s">
        <v>1145</v>
      </c>
      <c r="S22" s="930"/>
      <c r="T22" s="930"/>
      <c r="U22" s="930"/>
      <c r="V22" s="931"/>
    </row>
    <row r="23" spans="1:22" ht="12.75" customHeight="1">
      <c r="A23" s="918" t="s">
        <v>633</v>
      </c>
      <c r="B23" s="919"/>
      <c r="C23" s="920">
        <v>3</v>
      </c>
      <c r="D23" s="915" t="s">
        <v>413</v>
      </c>
      <c r="E23" s="913"/>
      <c r="F23" s="917">
        <v>0</v>
      </c>
      <c r="G23" s="915" t="s">
        <v>1609</v>
      </c>
      <c r="H23" s="935"/>
      <c r="I23" s="917">
        <v>0</v>
      </c>
      <c r="K23" s="1059" t="s">
        <v>1009</v>
      </c>
      <c r="L23" s="1056"/>
      <c r="M23" s="1056"/>
      <c r="N23" s="1060"/>
      <c r="O23" s="1070" t="s">
        <v>1011</v>
      </c>
      <c r="Q23" s="928"/>
      <c r="R23" s="929" t="s">
        <v>3080</v>
      </c>
      <c r="S23" s="930"/>
      <c r="T23" s="930"/>
      <c r="U23" s="930"/>
      <c r="V23" s="931"/>
    </row>
    <row r="24" spans="1:22" ht="12.75" customHeight="1">
      <c r="A24" s="918" t="s">
        <v>412</v>
      </c>
      <c r="B24" s="919"/>
      <c r="C24" s="920">
        <v>0</v>
      </c>
      <c r="D24" s="921" t="s">
        <v>414</v>
      </c>
      <c r="E24" s="922"/>
      <c r="F24" s="923">
        <v>0</v>
      </c>
      <c r="G24" s="924" t="s">
        <v>1610</v>
      </c>
      <c r="H24" s="925"/>
      <c r="I24" s="926">
        <v>0</v>
      </c>
      <c r="K24" s="1059" t="s">
        <v>1010</v>
      </c>
      <c r="L24" s="1056"/>
      <c r="M24" s="1056"/>
      <c r="N24" s="1061" t="b">
        <v>0</v>
      </c>
      <c r="O24" s="1071">
        <v>0.3</v>
      </c>
      <c r="Q24" s="928"/>
      <c r="R24" s="929" t="s">
        <v>3081</v>
      </c>
      <c r="S24" s="930"/>
      <c r="T24" s="930"/>
      <c r="U24" s="930"/>
      <c r="V24" s="931"/>
    </row>
    <row r="25" spans="1:22" ht="12.75" customHeight="1">
      <c r="A25" s="936"/>
      <c r="B25" s="935"/>
      <c r="C25" s="935"/>
      <c r="D25" s="921" t="s">
        <v>415</v>
      </c>
      <c r="E25" s="922"/>
      <c r="F25" s="923">
        <v>5</v>
      </c>
      <c r="G25" s="918" t="s">
        <v>2151</v>
      </c>
      <c r="H25" s="919"/>
      <c r="I25" s="927">
        <v>0</v>
      </c>
      <c r="K25" s="1059" t="s">
        <v>749</v>
      </c>
      <c r="L25" s="1056"/>
      <c r="M25" s="1056"/>
      <c r="N25" s="1060"/>
      <c r="O25" s="1072" t="s">
        <v>144</v>
      </c>
      <c r="Q25" s="941"/>
      <c r="R25" s="942" t="s">
        <v>3082</v>
      </c>
      <c r="S25" s="943"/>
      <c r="T25" s="943"/>
      <c r="U25" s="943"/>
      <c r="V25" s="944"/>
    </row>
    <row r="26" spans="1:22" ht="12.75" customHeight="1">
      <c r="A26" s="956" t="s">
        <v>1611</v>
      </c>
      <c r="B26" s="967"/>
      <c r="C26" s="958">
        <v>0</v>
      </c>
      <c r="D26" s="965" t="s">
        <v>416</v>
      </c>
      <c r="E26" s="963"/>
      <c r="F26" s="961">
        <v>0</v>
      </c>
      <c r="G26" s="956" t="s">
        <v>1612</v>
      </c>
      <c r="H26" s="967"/>
      <c r="I26" s="978">
        <v>0</v>
      </c>
      <c r="K26" s="1059" t="s">
        <v>755</v>
      </c>
      <c r="L26" s="1046"/>
      <c r="M26" s="1046"/>
      <c r="N26" s="1373"/>
      <c r="O26" s="1072" t="s">
        <v>751</v>
      </c>
      <c r="Q26" s="1045">
        <v>5475</v>
      </c>
      <c r="R26" s="1046" t="s">
        <v>1401</v>
      </c>
      <c r="S26" s="1047"/>
      <c r="T26" s="1047"/>
      <c r="U26" s="1047"/>
      <c r="V26" s="1048"/>
    </row>
    <row r="27" spans="1:22" ht="12.75" customHeight="1">
      <c r="A27" s="965" t="s">
        <v>1359</v>
      </c>
      <c r="B27" s="963"/>
      <c r="C27" s="969">
        <v>0</v>
      </c>
      <c r="D27" s="979" t="s">
        <v>746</v>
      </c>
      <c r="E27" s="980"/>
      <c r="F27" s="962">
        <v>1</v>
      </c>
      <c r="G27" s="956" t="s">
        <v>1613</v>
      </c>
      <c r="H27" s="967"/>
      <c r="I27" s="978">
        <v>0</v>
      </c>
      <c r="K27" s="1062" t="s">
        <v>1012</v>
      </c>
      <c r="L27" s="1057"/>
      <c r="M27" s="1063"/>
      <c r="N27" s="1064"/>
      <c r="O27" s="1070" t="s">
        <v>1013</v>
      </c>
      <c r="Q27" s="928">
        <v>3800</v>
      </c>
      <c r="R27" s="929" t="s">
        <v>1144</v>
      </c>
      <c r="S27" s="945"/>
      <c r="T27" s="945"/>
      <c r="U27" s="945"/>
      <c r="V27" s="946"/>
    </row>
    <row r="28" spans="1:22" ht="12.75" customHeight="1" thickBot="1">
      <c r="A28" s="970" t="s">
        <v>474</v>
      </c>
      <c r="B28" s="963"/>
      <c r="C28" s="981">
        <v>0</v>
      </c>
      <c r="D28" s="965" t="s">
        <v>418</v>
      </c>
      <c r="E28" s="963"/>
      <c r="F28" s="961">
        <v>5</v>
      </c>
      <c r="G28" s="965" t="s">
        <v>1593</v>
      </c>
      <c r="H28" s="963"/>
      <c r="I28" s="962">
        <v>0</v>
      </c>
      <c r="K28" s="1059" t="s">
        <v>3156</v>
      </c>
      <c r="L28" s="1056"/>
      <c r="M28" s="1056"/>
      <c r="N28" s="1060"/>
      <c r="O28" s="1072" t="s">
        <v>751</v>
      </c>
      <c r="Q28" s="1049">
        <v>0</v>
      </c>
      <c r="R28" s="1050" t="s">
        <v>1402</v>
      </c>
      <c r="S28" s="1051"/>
      <c r="T28" s="1051"/>
      <c r="U28" s="1051"/>
      <c r="V28" s="1052"/>
    </row>
    <row r="29" spans="1:22" ht="12.75" customHeight="1">
      <c r="A29" s="959" t="s">
        <v>745</v>
      </c>
      <c r="B29" s="960"/>
      <c r="C29" s="969">
        <v>0</v>
      </c>
      <c r="D29" s="965" t="s">
        <v>417</v>
      </c>
      <c r="E29" s="963"/>
      <c r="F29" s="961">
        <v>0</v>
      </c>
      <c r="G29" s="959" t="s">
        <v>2153</v>
      </c>
      <c r="H29" s="960"/>
      <c r="I29" s="961">
        <v>0</v>
      </c>
      <c r="K29" s="1307" t="s">
        <v>3157</v>
      </c>
      <c r="L29" s="1046"/>
      <c r="M29" s="1046"/>
      <c r="N29" s="1373"/>
      <c r="O29" s="1072" t="s">
        <v>751</v>
      </c>
    </row>
    <row r="30" spans="1:22" ht="12.75" customHeight="1">
      <c r="A30" s="921" t="s">
        <v>753</v>
      </c>
      <c r="B30" s="922"/>
      <c r="C30" s="937">
        <v>0</v>
      </c>
      <c r="D30" s="915" t="s">
        <v>475</v>
      </c>
      <c r="E30" s="935"/>
      <c r="F30" s="917">
        <v>0</v>
      </c>
      <c r="G30" s="915" t="s">
        <v>476</v>
      </c>
      <c r="H30" s="935"/>
      <c r="I30" s="917">
        <v>0</v>
      </c>
      <c r="K30" s="1062" t="s">
        <v>1014</v>
      </c>
      <c r="L30" s="1057"/>
      <c r="M30" s="1063"/>
      <c r="N30" s="1064"/>
      <c r="O30" s="1072" t="s">
        <v>1013</v>
      </c>
    </row>
    <row r="31" spans="1:22" ht="12.75" customHeight="1">
      <c r="A31" s="918" t="s">
        <v>747</v>
      </c>
      <c r="B31" s="919"/>
      <c r="C31" s="920">
        <v>0</v>
      </c>
      <c r="D31" s="918" t="s">
        <v>748</v>
      </c>
      <c r="E31" s="919"/>
      <c r="F31" s="927">
        <v>2</v>
      </c>
      <c r="G31" s="918" t="s">
        <v>2155</v>
      </c>
      <c r="H31" s="919"/>
      <c r="I31" s="927">
        <v>0</v>
      </c>
      <c r="K31" s="1307" t="s">
        <v>3192</v>
      </c>
      <c r="L31" s="1046"/>
      <c r="M31" s="1046"/>
      <c r="N31" s="1373"/>
      <c r="O31" s="1072" t="s">
        <v>751</v>
      </c>
    </row>
    <row r="32" spans="1:22" ht="12.75" customHeight="1">
      <c r="A32" s="936"/>
      <c r="B32" s="935"/>
      <c r="C32" s="935"/>
      <c r="D32" s="938" t="s">
        <v>2223</v>
      </c>
      <c r="E32" s="939"/>
      <c r="F32" s="927">
        <v>3</v>
      </c>
      <c r="G32" s="936"/>
      <c r="H32" s="935"/>
      <c r="I32" s="940"/>
      <c r="K32" s="1307" t="s">
        <v>3195</v>
      </c>
      <c r="L32" s="1046"/>
      <c r="M32" s="1046"/>
      <c r="N32" s="1380" t="b">
        <v>0</v>
      </c>
      <c r="O32" s="1072">
        <v>10000</v>
      </c>
    </row>
    <row r="33" spans="1:18" ht="12.75" customHeight="1">
      <c r="A33" s="982" t="s">
        <v>477</v>
      </c>
      <c r="B33" s="983"/>
      <c r="C33" s="977">
        <v>0</v>
      </c>
      <c r="D33" s="959" t="s">
        <v>754</v>
      </c>
      <c r="E33" s="960"/>
      <c r="F33" s="961">
        <v>2</v>
      </c>
      <c r="G33" s="984" t="s">
        <v>478</v>
      </c>
      <c r="H33" s="960"/>
      <c r="I33" s="974">
        <v>0</v>
      </c>
      <c r="K33" s="1062" t="s">
        <v>3000</v>
      </c>
      <c r="L33" s="1056"/>
      <c r="M33" s="1056"/>
      <c r="N33" s="1060"/>
      <c r="O33" s="1073">
        <v>1</v>
      </c>
      <c r="R33" s="494"/>
    </row>
    <row r="34" spans="1:18" ht="12.75" customHeight="1">
      <c r="A34" s="956" t="s">
        <v>479</v>
      </c>
      <c r="B34" s="967"/>
      <c r="C34" s="958">
        <v>0</v>
      </c>
      <c r="D34" s="959" t="s">
        <v>752</v>
      </c>
      <c r="E34" s="960"/>
      <c r="F34" s="961">
        <v>1</v>
      </c>
      <c r="G34" s="956" t="s">
        <v>480</v>
      </c>
      <c r="H34" s="967"/>
      <c r="I34" s="978">
        <v>0</v>
      </c>
      <c r="K34" s="1062" t="s">
        <v>3035</v>
      </c>
      <c r="L34" s="1056"/>
      <c r="M34" s="1056"/>
      <c r="N34" s="1060"/>
      <c r="O34" s="1074">
        <v>1</v>
      </c>
    </row>
    <row r="35" spans="1:18" ht="12.75" customHeight="1">
      <c r="A35" s="966"/>
      <c r="B35" s="967"/>
      <c r="C35" s="967"/>
      <c r="D35" s="956" t="s">
        <v>481</v>
      </c>
      <c r="E35" s="967"/>
      <c r="F35" s="978">
        <v>2</v>
      </c>
      <c r="G35" s="956" t="s">
        <v>409</v>
      </c>
      <c r="H35" s="967"/>
      <c r="I35" s="978">
        <v>0</v>
      </c>
      <c r="K35" s="1062" t="s">
        <v>2871</v>
      </c>
      <c r="L35" s="1056"/>
      <c r="M35" s="1056"/>
      <c r="N35" s="1060"/>
      <c r="O35" s="1072">
        <v>300</v>
      </c>
    </row>
    <row r="36" spans="1:18" ht="12.75" customHeight="1" thickBot="1">
      <c r="A36" s="921" t="s">
        <v>756</v>
      </c>
      <c r="B36" s="922"/>
      <c r="C36" s="937">
        <v>0</v>
      </c>
      <c r="D36" s="918" t="s">
        <v>761</v>
      </c>
      <c r="E36" s="919"/>
      <c r="F36" s="923">
        <v>5</v>
      </c>
      <c r="G36" s="918" t="s">
        <v>2157</v>
      </c>
      <c r="H36" s="919"/>
      <c r="I36" s="923">
        <v>0</v>
      </c>
      <c r="K36" s="1065" t="s">
        <v>919</v>
      </c>
      <c r="L36" s="1058"/>
      <c r="M36" s="1058"/>
      <c r="N36" s="1066"/>
      <c r="O36" s="1075" t="s">
        <v>751</v>
      </c>
      <c r="R36" s="64"/>
    </row>
    <row r="37" spans="1:18" ht="12.75" customHeight="1" thickBot="1">
      <c r="A37" s="985" t="s">
        <v>750</v>
      </c>
      <c r="B37" s="986"/>
      <c r="C37" s="987">
        <v>0</v>
      </c>
      <c r="D37" s="985" t="s">
        <v>762</v>
      </c>
      <c r="E37" s="986"/>
      <c r="F37" s="988">
        <v>1</v>
      </c>
      <c r="G37" s="985" t="s">
        <v>1524</v>
      </c>
      <c r="H37" s="986"/>
      <c r="I37" s="989">
        <v>0</v>
      </c>
    </row>
    <row r="38" spans="1:18" ht="12.75" customHeight="1" thickBot="1">
      <c r="A38" s="995"/>
      <c r="B38" s="996"/>
      <c r="C38" s="627">
        <f>SUM(C14:C37)</f>
        <v>19</v>
      </c>
      <c r="D38" s="997"/>
      <c r="E38" s="997"/>
      <c r="F38" s="627">
        <f>SUM(F14:F37)</f>
        <v>42</v>
      </c>
      <c r="G38" s="998"/>
      <c r="H38" s="999"/>
      <c r="I38" s="627">
        <f>SUM(I14:I37)</f>
        <v>0</v>
      </c>
    </row>
    <row r="39" spans="1:18" ht="17.25" customHeight="1" thickBot="1">
      <c r="A39" s="1513" t="s">
        <v>1441</v>
      </c>
      <c r="B39" s="1514"/>
      <c r="C39" s="495">
        <f>CharLevel-9-I39</f>
        <v>0</v>
      </c>
      <c r="D39" s="1000"/>
      <c r="E39" s="1000"/>
      <c r="F39" s="1000"/>
      <c r="G39" s="1518" t="s">
        <v>410</v>
      </c>
      <c r="H39" s="1519"/>
      <c r="I39" s="496">
        <f>C38+F38+I38</f>
        <v>61</v>
      </c>
    </row>
    <row r="40" spans="1:18" ht="13.5" thickBot="1">
      <c r="A40" s="167"/>
      <c r="B40" s="167"/>
      <c r="C40" s="167"/>
      <c r="D40" s="167"/>
      <c r="E40" s="167"/>
      <c r="F40" s="167"/>
      <c r="G40" s="167"/>
      <c r="H40" s="167"/>
      <c r="I40" s="167"/>
    </row>
    <row r="41" spans="1:18" ht="13.5" thickBot="1">
      <c r="A41" s="1515" t="s">
        <v>763</v>
      </c>
      <c r="B41" s="1516"/>
      <c r="C41" s="1516"/>
      <c r="D41" s="1516"/>
      <c r="E41" s="1516"/>
      <c r="F41" s="1516"/>
      <c r="G41" s="1517"/>
      <c r="H41" s="64"/>
      <c r="I41" s="64"/>
      <c r="J41" s="64"/>
    </row>
    <row r="42" spans="1:18" ht="13.5" thickBot="1">
      <c r="A42" s="1472" t="s">
        <v>3043</v>
      </c>
      <c r="B42" s="1473"/>
      <c r="C42" s="1473"/>
      <c r="D42" s="1473"/>
      <c r="E42" s="1473"/>
      <c r="F42" s="1473"/>
      <c r="G42" s="1474"/>
      <c r="H42" s="64"/>
      <c r="I42" s="64"/>
      <c r="J42" s="64"/>
    </row>
    <row r="43" spans="1:18">
      <c r="A43" s="1038"/>
      <c r="B43" s="1470"/>
      <c r="C43" s="1470"/>
      <c r="D43" s="502"/>
      <c r="E43" s="502"/>
      <c r="F43" s="502"/>
      <c r="G43" s="503"/>
      <c r="H43" s="64"/>
      <c r="I43" s="64"/>
      <c r="J43" s="64"/>
    </row>
    <row r="44" spans="1:18">
      <c r="A44" s="1039"/>
      <c r="B44" s="1471"/>
      <c r="C44" s="1471"/>
      <c r="D44" s="500"/>
      <c r="E44" s="500"/>
      <c r="F44" s="500"/>
      <c r="G44" s="501"/>
      <c r="H44" s="64"/>
      <c r="I44" s="64"/>
      <c r="J44" s="64"/>
    </row>
    <row r="45" spans="1:18">
      <c r="A45" s="1030"/>
      <c r="B45" s="1508" t="s">
        <v>864</v>
      </c>
      <c r="C45" s="1510"/>
      <c r="D45" s="1508" t="s">
        <v>863</v>
      </c>
      <c r="E45" s="1509"/>
      <c r="F45" s="1508" t="s">
        <v>862</v>
      </c>
      <c r="G45" s="1509"/>
      <c r="H45" s="64"/>
      <c r="I45" s="64"/>
      <c r="J45" s="64"/>
      <c r="K45" s="64"/>
      <c r="L45" s="64"/>
    </row>
    <row r="46" spans="1:18">
      <c r="A46" s="1028" t="s">
        <v>765</v>
      </c>
      <c r="B46" s="1031">
        <f>nextstat2!$H$4</f>
        <v>1</v>
      </c>
      <c r="C46" s="1032" t="s">
        <v>766</v>
      </c>
      <c r="D46" s="1031">
        <f>B46/B$48</f>
        <v>2.3149828155506516</v>
      </c>
      <c r="E46" s="1033" t="s">
        <v>768</v>
      </c>
      <c r="F46" s="1034">
        <f>nextstat2!$E$4</f>
        <v>0.8272128693349714</v>
      </c>
      <c r="G46" s="1033" t="s">
        <v>1538</v>
      </c>
      <c r="H46" s="64"/>
      <c r="I46" s="64"/>
      <c r="J46" s="64"/>
      <c r="K46" s="64"/>
      <c r="L46" s="64"/>
    </row>
    <row r="47" spans="1:18">
      <c r="A47" s="1028" t="s">
        <v>767</v>
      </c>
      <c r="B47" s="1031">
        <f>nextstat2!$H$11</f>
        <v>0.47516551423727965</v>
      </c>
      <c r="C47" s="1032" t="s">
        <v>766</v>
      </c>
      <c r="D47" s="1031">
        <f>B47/B$48</f>
        <v>1.1000000000015908</v>
      </c>
      <c r="E47" s="1032" t="s">
        <v>768</v>
      </c>
      <c r="F47" s="1034">
        <f>nextstat2!$E$11</f>
        <v>0.3930630284412473</v>
      </c>
      <c r="G47" s="1032" t="s">
        <v>1538</v>
      </c>
      <c r="H47" s="64"/>
      <c r="I47" s="64"/>
      <c r="J47" s="64"/>
      <c r="K47" s="64"/>
      <c r="L47" s="64"/>
    </row>
    <row r="48" spans="1:18">
      <c r="A48" s="1028" t="s">
        <v>768</v>
      </c>
      <c r="B48" s="1031">
        <f>nextstat2!$H$3</f>
        <v>0.43196864930599316</v>
      </c>
      <c r="C48" s="1032" t="s">
        <v>766</v>
      </c>
      <c r="D48" s="1031">
        <v>1</v>
      </c>
      <c r="E48" s="1032" t="s">
        <v>768</v>
      </c>
      <c r="F48" s="1034">
        <f>nextstat2!$E$3</f>
        <v>0.3573300258551626</v>
      </c>
      <c r="G48" s="1032" t="s">
        <v>1538</v>
      </c>
      <c r="H48" s="64"/>
      <c r="I48" s="64"/>
      <c r="J48" s="64"/>
      <c r="K48" s="64"/>
      <c r="L48" s="64"/>
      <c r="M48" s="64"/>
    </row>
    <row r="49" spans="1:25">
      <c r="A49" s="1028" t="s">
        <v>2139</v>
      </c>
      <c r="B49" s="1031">
        <f>nextstat2!$H$6</f>
        <v>6.7093147034680944</v>
      </c>
      <c r="C49" s="1032" t="s">
        <v>766</v>
      </c>
      <c r="D49" s="1031">
        <f>B49/B$48</f>
        <v>15.531948242649953</v>
      </c>
      <c r="E49" s="1032" t="s">
        <v>768</v>
      </c>
      <c r="F49" s="1034">
        <f>nextstat2!$E$6</f>
        <v>5.5500314671271553</v>
      </c>
      <c r="G49" s="1032" t="s">
        <v>1538</v>
      </c>
      <c r="H49" s="64"/>
      <c r="I49" s="64"/>
      <c r="J49" s="64"/>
      <c r="K49" s="64"/>
      <c r="L49" s="64"/>
      <c r="M49" s="64"/>
    </row>
    <row r="50" spans="1:25">
      <c r="A50" s="1028" t="s">
        <v>2140</v>
      </c>
      <c r="B50" s="1031">
        <f>nextstat2!$H$5</f>
        <v>0.82904453125931488</v>
      </c>
      <c r="C50" s="1032" t="s">
        <v>766</v>
      </c>
      <c r="D50" s="1031">
        <f>B50/B$48</f>
        <v>1.9192238431915589</v>
      </c>
      <c r="E50" s="1032" t="s">
        <v>768</v>
      </c>
      <c r="F50" s="1034">
        <f>nextstat2!$E$5</f>
        <v>0.68579630550948423</v>
      </c>
      <c r="G50" s="1032" t="s">
        <v>1538</v>
      </c>
      <c r="H50" s="64"/>
      <c r="I50" s="64"/>
      <c r="J50" s="64"/>
      <c r="K50" s="64"/>
      <c r="L50" s="64"/>
      <c r="M50" s="64"/>
    </row>
    <row r="51" spans="1:25">
      <c r="A51" s="1028" t="s">
        <v>1582</v>
      </c>
      <c r="B51" s="1031">
        <f>nextstat2!$H$9</f>
        <v>1.4247966757057076</v>
      </c>
      <c r="C51" s="1032" t="s">
        <v>766</v>
      </c>
      <c r="D51" s="1040">
        <f>B51/B$48</f>
        <v>3.2983798199124075</v>
      </c>
      <c r="E51" s="1032" t="s">
        <v>768</v>
      </c>
      <c r="F51" s="1034">
        <f>nextstat2!$E$9</f>
        <v>1.1786101463294472</v>
      </c>
      <c r="G51" s="1032" t="s">
        <v>1538</v>
      </c>
      <c r="H51" s="64"/>
      <c r="I51" s="64"/>
      <c r="J51" s="64"/>
      <c r="K51" s="64"/>
      <c r="L51" s="64"/>
    </row>
    <row r="52" spans="1:25">
      <c r="A52" s="1028" t="s">
        <v>770</v>
      </c>
      <c r="B52" s="1031">
        <f>nextstat2!$H$8</f>
        <v>0.14858158751251888</v>
      </c>
      <c r="C52" s="1032" t="s">
        <v>766</v>
      </c>
      <c r="D52" s="1031">
        <f>B52/B$48</f>
        <v>0.34396382179871648</v>
      </c>
      <c r="E52" s="1032" t="s">
        <v>768</v>
      </c>
      <c r="F52" s="1034">
        <f>nextstat2!$E$8</f>
        <v>0.12290860133657588</v>
      </c>
      <c r="G52" s="1032" t="s">
        <v>1538</v>
      </c>
      <c r="H52" s="64"/>
      <c r="I52" s="64"/>
      <c r="J52" s="64"/>
      <c r="K52" s="64"/>
      <c r="L52" s="64"/>
      <c r="P52" s="167"/>
    </row>
    <row r="53" spans="1:25" ht="13.5" thickBot="1">
      <c r="A53" s="1029" t="s">
        <v>771</v>
      </c>
      <c r="B53" s="1035">
        <f>nextstat2!$H$7</f>
        <v>4.4382587301521434</v>
      </c>
      <c r="C53" s="1036" t="s">
        <v>766</v>
      </c>
      <c r="D53" s="1035">
        <f>B53/B$48</f>
        <v>10.274492691269868</v>
      </c>
      <c r="E53" s="1036" t="s">
        <v>768</v>
      </c>
      <c r="F53" s="1037">
        <f>nextstat2!$E$7</f>
        <v>3.6713847390201408</v>
      </c>
      <c r="G53" s="1036" t="s">
        <v>1538</v>
      </c>
      <c r="H53" s="64"/>
      <c r="I53" s="64"/>
      <c r="J53" s="64"/>
      <c r="K53" s="64"/>
      <c r="L53" s="64"/>
      <c r="P53" s="167"/>
    </row>
    <row r="54" spans="1:25" ht="13.5" thickBot="1">
      <c r="A54" s="1472" t="s">
        <v>772</v>
      </c>
      <c r="B54" s="1473"/>
      <c r="C54" s="1473"/>
      <c r="D54" s="1473"/>
      <c r="E54" s="1473"/>
      <c r="F54" s="1474"/>
      <c r="H54" s="64"/>
      <c r="I54" s="64"/>
      <c r="J54" s="64"/>
      <c r="K54" s="64"/>
      <c r="L54" s="64"/>
      <c r="P54" s="64"/>
      <c r="Q54" s="64"/>
    </row>
    <row r="55" spans="1:25">
      <c r="A55" s="1511" t="s">
        <v>773</v>
      </c>
      <c r="B55" s="1512"/>
      <c r="C55" s="1096">
        <v>0</v>
      </c>
      <c r="D55" s="1084" t="s">
        <v>774</v>
      </c>
      <c r="E55" s="1085"/>
      <c r="F55" s="1099">
        <v>13</v>
      </c>
      <c r="H55" s="64"/>
      <c r="I55" s="64"/>
      <c r="J55" s="64"/>
      <c r="K55" s="64"/>
      <c r="L55" s="64"/>
      <c r="P55" s="64"/>
      <c r="Q55" s="64"/>
    </row>
    <row r="56" spans="1:25">
      <c r="A56" s="1506" t="s">
        <v>775</v>
      </c>
      <c r="B56" s="1507"/>
      <c r="C56" s="1097">
        <v>0</v>
      </c>
      <c r="D56" s="1086" t="s">
        <v>776</v>
      </c>
      <c r="E56" s="1087"/>
      <c r="F56" s="1098">
        <v>8</v>
      </c>
      <c r="H56" s="64"/>
      <c r="I56" s="64"/>
      <c r="J56" s="64"/>
      <c r="K56" s="64"/>
      <c r="L56" s="64"/>
      <c r="O56" s="167"/>
      <c r="P56" s="64"/>
      <c r="Q56" s="64"/>
    </row>
    <row r="57" spans="1:25">
      <c r="A57" s="1506" t="s">
        <v>777</v>
      </c>
      <c r="B57" s="1507"/>
      <c r="C57" s="1098">
        <v>0</v>
      </c>
      <c r="D57" s="1086" t="s">
        <v>778</v>
      </c>
      <c r="E57" s="1087"/>
      <c r="F57" s="1098">
        <v>8</v>
      </c>
      <c r="K57" s="64"/>
      <c r="L57" s="64"/>
      <c r="N57" s="167"/>
      <c r="O57" s="167"/>
      <c r="P57" s="64"/>
      <c r="Q57" s="64"/>
    </row>
    <row r="58" spans="1:25">
      <c r="A58" s="1506" t="s">
        <v>779</v>
      </c>
      <c r="B58" s="1507"/>
      <c r="C58" s="1098">
        <v>0</v>
      </c>
      <c r="D58" s="1086" t="s">
        <v>780</v>
      </c>
      <c r="E58" s="1087"/>
      <c r="F58" s="1098">
        <v>8</v>
      </c>
      <c r="M58" s="64"/>
      <c r="N58" s="64"/>
      <c r="O58" s="64"/>
      <c r="P58" s="64"/>
      <c r="Q58" s="64"/>
    </row>
    <row r="59" spans="1:25" ht="13.5" thickBot="1">
      <c r="A59" s="1506" t="s">
        <v>1474</v>
      </c>
      <c r="B59" s="1507"/>
      <c r="C59" s="1098">
        <v>0</v>
      </c>
      <c r="D59" s="1086" t="s">
        <v>1475</v>
      </c>
      <c r="E59" s="1087"/>
      <c r="F59" s="1098">
        <v>0</v>
      </c>
      <c r="M59" s="64"/>
      <c r="N59" s="64"/>
      <c r="O59" s="64"/>
      <c r="P59" s="64"/>
      <c r="Q59" s="64"/>
    </row>
    <row r="60" spans="1:25" ht="13.5" thickBot="1">
      <c r="A60" s="1088" t="s">
        <v>769</v>
      </c>
      <c r="B60" s="1089"/>
      <c r="C60" s="1089"/>
      <c r="D60" s="1089"/>
      <c r="E60" s="1089"/>
      <c r="F60" s="1089"/>
      <c r="G60" s="1089"/>
      <c r="H60" s="1089"/>
      <c r="I60" s="1089"/>
      <c r="J60" s="1089"/>
      <c r="P60" s="1089"/>
      <c r="Q60" s="1089"/>
      <c r="R60" s="1089"/>
      <c r="S60" s="1089"/>
      <c r="T60" s="1089"/>
      <c r="U60" s="1089"/>
      <c r="V60" s="1089"/>
      <c r="W60" s="1089"/>
      <c r="X60" s="1089"/>
      <c r="Y60" s="1091"/>
    </row>
    <row r="61" spans="1:25" ht="13.5" thickBot="1">
      <c r="A61" s="1092"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3"/>
      <c r="C61" s="1093"/>
      <c r="D61" s="1094"/>
      <c r="E61" s="1094"/>
      <c r="F61" s="1094"/>
      <c r="G61" s="1094"/>
      <c r="H61" s="1094"/>
      <c r="I61" s="1094"/>
      <c r="J61" s="1094"/>
      <c r="K61" s="1089"/>
      <c r="L61" s="1089"/>
      <c r="M61" s="1089"/>
      <c r="N61" s="1090"/>
      <c r="O61" s="1089"/>
      <c r="P61" s="1094"/>
      <c r="Q61" s="1094"/>
      <c r="R61" s="1094"/>
      <c r="S61" s="1094"/>
      <c r="T61" s="1094"/>
      <c r="U61" s="1094"/>
      <c r="V61" s="1094"/>
      <c r="W61" s="1094"/>
      <c r="X61" s="1094"/>
      <c r="Y61" s="1095"/>
    </row>
    <row r="62" spans="1:25" ht="13.5" thickBot="1">
      <c r="K62" s="1094"/>
      <c r="L62" s="1094"/>
      <c r="M62" s="1094"/>
      <c r="N62" s="1094"/>
      <c r="O62" s="1094"/>
      <c r="P62" s="64"/>
    </row>
    <row r="63" spans="1:25">
      <c r="N63" s="64"/>
      <c r="O63" s="64"/>
      <c r="P63" s="167"/>
    </row>
    <row r="64" spans="1:25">
      <c r="A64" s="64"/>
      <c r="B64" s="64"/>
      <c r="C64" s="64"/>
      <c r="D64" s="64"/>
      <c r="E64" s="64"/>
      <c r="F64" s="64"/>
      <c r="G64" s="64"/>
      <c r="H64" s="64"/>
      <c r="I64" s="64"/>
      <c r="J64" s="64"/>
      <c r="K64" s="64"/>
      <c r="L64" s="64"/>
      <c r="M64" s="64"/>
      <c r="N64" s="64"/>
      <c r="O64" s="167"/>
      <c r="P64" s="167"/>
    </row>
    <row r="65" spans="1:26">
      <c r="N65" s="64"/>
    </row>
    <row r="66" spans="1:26">
      <c r="N66" s="167"/>
    </row>
    <row r="68" spans="1:26">
      <c r="O68" s="167"/>
      <c r="P68" s="167"/>
    </row>
    <row r="69" spans="1:26">
      <c r="O69" s="167"/>
      <c r="P69" s="167"/>
    </row>
    <row r="73" spans="1:26">
      <c r="O73" s="64"/>
    </row>
    <row r="74" spans="1:26">
      <c r="P74" s="64"/>
      <c r="Q74" s="64"/>
      <c r="R74" s="64"/>
      <c r="S74" s="64"/>
      <c r="T74" s="64"/>
      <c r="U74" s="64"/>
      <c r="V74" s="64"/>
      <c r="W74" s="64"/>
      <c r="X74" s="64"/>
      <c r="Y74" s="64"/>
    </row>
    <row r="75" spans="1:26">
      <c r="Z75" s="64"/>
    </row>
    <row r="76" spans="1:26" s="64" customFormat="1">
      <c r="A76"/>
      <c r="B76"/>
      <c r="C76"/>
      <c r="D76"/>
      <c r="E76"/>
      <c r="F76"/>
      <c r="G76"/>
      <c r="H76"/>
      <c r="I76"/>
      <c r="J76"/>
      <c r="K76"/>
      <c r="L76"/>
      <c r="M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6" t="s">
        <v>3049</v>
      </c>
      <c r="F1" s="1504" t="s">
        <v>1538</v>
      </c>
      <c r="G1" s="1547">
        <f>'Damage Calc'!$J$16</f>
        <v>1555.182530256119</v>
      </c>
      <c r="H1" s="1547"/>
      <c r="I1" s="1548"/>
    </row>
    <row r="2" spans="2:10" ht="13.5" customHeight="1" thickBot="1">
      <c r="B2" s="1546"/>
      <c r="F2" s="1545"/>
      <c r="G2" s="1549"/>
      <c r="H2" s="1549"/>
      <c r="I2" s="1550"/>
    </row>
    <row r="3" spans="2:10">
      <c r="B3" s="889">
        <v>1</v>
      </c>
      <c r="F3" s="1009" t="s">
        <v>1137</v>
      </c>
      <c r="G3" s="1445">
        <f>'Gear &amp; Buffs'!$C$7</f>
        <v>1555.182530256119</v>
      </c>
      <c r="H3" s="1445"/>
      <c r="I3" s="1446"/>
    </row>
    <row r="4" spans="2:10" ht="13.5" thickBot="1">
      <c r="B4" s="889"/>
      <c r="F4" s="1160" t="s">
        <v>590</v>
      </c>
      <c r="G4" s="1157" t="str">
        <f>IF(($G$1-$G$3)&lt;0,ROUND($G$1-$G$3,2),"+"&amp;ROUND($G$1-$G$3,2))</f>
        <v>+0</v>
      </c>
      <c r="H4" s="1158"/>
      <c r="I4" s="1159" t="str">
        <f>IF(($G$4/$G$1)&lt;0,ROUND($G$4/$G$1*100,2)&amp;"%","+"&amp;ROUND($G$4/$G$1*100,2)&amp;"%")</f>
        <v>+0%</v>
      </c>
    </row>
    <row r="5" spans="2:10">
      <c r="D5" s="889"/>
      <c r="G5" s="889"/>
    </row>
    <row r="6" spans="2:10" ht="13.5" thickBot="1">
      <c r="D6" s="889"/>
      <c r="G6" s="889"/>
    </row>
    <row r="7" spans="2:10" ht="13.5" thickBot="1">
      <c r="B7" s="619" t="s">
        <v>2917</v>
      </c>
      <c r="C7" s="1163"/>
      <c r="D7" s="889"/>
      <c r="E7" s="619" t="s">
        <v>2919</v>
      </c>
      <c r="F7" s="1163"/>
      <c r="G7" s="889"/>
      <c r="H7" s="619" t="str">
        <f>IF(arush&gt;0,"", "No ")&amp;"Adrenaline Rush"</f>
        <v>Adrenaline Rush</v>
      </c>
      <c r="I7" s="1163"/>
      <c r="J7" s="889"/>
    </row>
    <row r="8" spans="2:10">
      <c r="B8" s="1169"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4"/>
      <c r="D8" s="889"/>
      <c r="E8" s="1171"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2"/>
      <c r="G8" s="889"/>
      <c r="H8" s="1162" t="s">
        <v>3050</v>
      </c>
      <c r="I8" s="1161" t="s">
        <v>751</v>
      </c>
      <c r="J8" s="889" t="b">
        <f>I8="Yes"</f>
        <v>0</v>
      </c>
    </row>
    <row r="9" spans="2:10">
      <c r="B9" s="1162" t="s">
        <v>3051</v>
      </c>
      <c r="C9" s="1161" t="s">
        <v>751</v>
      </c>
      <c r="D9" s="889" t="b">
        <f>C9="Yes"</f>
        <v>0</v>
      </c>
      <c r="E9" s="1170"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3"/>
      <c r="G9" s="889"/>
      <c r="H9" s="1166" t="s">
        <v>2971</v>
      </c>
      <c r="I9" s="1021">
        <v>0</v>
      </c>
      <c r="J9" s="889"/>
    </row>
    <row r="10" spans="2:10" ht="13.5" thickBot="1">
      <c r="B10" s="1166" t="s">
        <v>2929</v>
      </c>
      <c r="C10" s="1021">
        <v>0</v>
      </c>
      <c r="D10" s="889"/>
      <c r="E10" s="1162" t="s">
        <v>3051</v>
      </c>
      <c r="F10" s="1161" t="s">
        <v>751</v>
      </c>
      <c r="G10" s="889" t="b">
        <f>F10="Yes"</f>
        <v>0</v>
      </c>
      <c r="H10" s="1167" t="s">
        <v>2972</v>
      </c>
      <c r="I10" s="1168">
        <v>300</v>
      </c>
      <c r="J10" s="889"/>
    </row>
    <row r="11" spans="2:10" ht="13.5" thickBot="1">
      <c r="B11" s="1162" t="s">
        <v>3052</v>
      </c>
      <c r="C11" s="1161" t="s">
        <v>751</v>
      </c>
      <c r="D11" s="889" t="b">
        <f>C11="Yes"</f>
        <v>0</v>
      </c>
      <c r="E11" s="1166" t="s">
        <v>2945</v>
      </c>
      <c r="F11" s="1021">
        <v>0</v>
      </c>
      <c r="G11" s="889"/>
      <c r="J11" s="889"/>
    </row>
    <row r="12" spans="2:10" ht="13.5" thickBot="1">
      <c r="B12" s="1166" t="s">
        <v>2930</v>
      </c>
      <c r="C12" s="1021">
        <v>60</v>
      </c>
      <c r="D12" s="889"/>
      <c r="E12" s="1162" t="s">
        <v>3052</v>
      </c>
      <c r="F12" s="1161" t="s">
        <v>751</v>
      </c>
      <c r="G12" s="889" t="b">
        <f>F12="Yes"</f>
        <v>0</v>
      </c>
      <c r="H12" s="619" t="str">
        <f>IF('Cooldowns Calc'!AL38,"","No ")&amp;"Thistle Tea"</f>
        <v>Thistle Tea</v>
      </c>
      <c r="I12" s="1163"/>
      <c r="J12" s="889"/>
    </row>
    <row r="13" spans="2:10">
      <c r="B13" s="1166" t="s">
        <v>2931</v>
      </c>
      <c r="C13" s="1021">
        <v>120</v>
      </c>
      <c r="D13" s="889"/>
      <c r="E13" s="1166" t="s">
        <v>2946</v>
      </c>
      <c r="F13" s="1021">
        <v>120</v>
      </c>
      <c r="G13" s="889"/>
      <c r="H13" s="1162" t="s">
        <v>3055</v>
      </c>
      <c r="I13" s="1161" t="s">
        <v>751</v>
      </c>
      <c r="J13" s="889" t="b">
        <f>I13="Yes"</f>
        <v>0</v>
      </c>
    </row>
    <row r="14" spans="2:10">
      <c r="B14" s="1166" t="s">
        <v>2932</v>
      </c>
      <c r="C14" s="1021">
        <v>180</v>
      </c>
      <c r="D14" s="889"/>
      <c r="E14" s="1166" t="s">
        <v>2947</v>
      </c>
      <c r="F14" s="1021">
        <v>240</v>
      </c>
      <c r="G14" s="889"/>
      <c r="H14" s="1166" t="s">
        <v>2973</v>
      </c>
      <c r="I14" s="1021">
        <v>0</v>
      </c>
      <c r="J14" s="889"/>
    </row>
    <row r="15" spans="2:10" ht="13.5" thickBot="1">
      <c r="B15" s="1166" t="s">
        <v>2933</v>
      </c>
      <c r="C15" s="1021">
        <v>240</v>
      </c>
      <c r="D15" s="889"/>
      <c r="E15" s="1166" t="s">
        <v>2948</v>
      </c>
      <c r="F15" s="1021">
        <v>360</v>
      </c>
      <c r="G15" s="889"/>
      <c r="H15" s="1167" t="s">
        <v>2974</v>
      </c>
      <c r="I15" s="1168">
        <v>300</v>
      </c>
      <c r="J15" s="889"/>
    </row>
    <row r="16" spans="2:10" ht="13.5" thickBot="1">
      <c r="B16" s="1166" t="s">
        <v>2934</v>
      </c>
      <c r="C16" s="1021">
        <v>300</v>
      </c>
      <c r="D16" s="889"/>
      <c r="E16" s="1167" t="s">
        <v>2949</v>
      </c>
      <c r="F16" s="1168">
        <v>480</v>
      </c>
      <c r="G16" s="889"/>
      <c r="J16" s="889"/>
    </row>
    <row r="17" spans="2:10" ht="13.5" thickBot="1">
      <c r="B17" s="1166" t="s">
        <v>2935</v>
      </c>
      <c r="C17" s="1021">
        <v>360</v>
      </c>
      <c r="D17" s="889"/>
      <c r="G17" s="889"/>
      <c r="H17" s="619" t="str">
        <f>IF(blust,"","No ")&amp;"Bloodlust / Heroism"</f>
        <v>Bloodlust / Heroism</v>
      </c>
      <c r="I17" s="1163"/>
      <c r="J17" s="889"/>
    </row>
    <row r="18" spans="2:10">
      <c r="B18" s="1166" t="s">
        <v>2936</v>
      </c>
      <c r="C18" s="1021">
        <v>420</v>
      </c>
      <c r="D18" s="889"/>
      <c r="H18" s="1162" t="s">
        <v>3056</v>
      </c>
      <c r="I18" s="1161" t="s">
        <v>751</v>
      </c>
      <c r="J18" s="889" t="b">
        <f>I18="Yes"</f>
        <v>0</v>
      </c>
    </row>
    <row r="19" spans="2:10">
      <c r="B19" s="1166" t="s">
        <v>2937</v>
      </c>
      <c r="C19" s="1021">
        <v>480</v>
      </c>
      <c r="D19" s="889"/>
      <c r="H19" s="1166" t="s">
        <v>2924</v>
      </c>
      <c r="I19" s="1021">
        <v>0</v>
      </c>
      <c r="J19" s="889"/>
    </row>
    <row r="20" spans="2:10" ht="13.5" thickBot="1">
      <c r="B20" s="1167" t="s">
        <v>2938</v>
      </c>
      <c r="C20" s="1168">
        <v>540</v>
      </c>
      <c r="D20" s="889"/>
      <c r="H20" s="1166" t="s">
        <v>2925</v>
      </c>
      <c r="I20" s="1021">
        <v>40</v>
      </c>
      <c r="J20" s="889"/>
    </row>
    <row r="21" spans="2:10" ht="13.5" thickBot="1">
      <c r="D21" s="889"/>
      <c r="H21" s="1166" t="s">
        <v>2926</v>
      </c>
      <c r="I21" s="1021">
        <v>80</v>
      </c>
      <c r="J21" s="889"/>
    </row>
    <row r="22" spans="2:10" ht="13.5" thickBot="1">
      <c r="B22" s="619" t="s">
        <v>2918</v>
      </c>
      <c r="C22" s="1163"/>
      <c r="D22" s="889"/>
      <c r="E22" s="619" t="s">
        <v>2921</v>
      </c>
      <c r="F22" s="1163"/>
      <c r="G22" s="889"/>
      <c r="H22" s="1166" t="s">
        <v>2927</v>
      </c>
      <c r="I22" s="1021">
        <v>120</v>
      </c>
      <c r="J22" s="889"/>
    </row>
    <row r="23" spans="2:10">
      <c r="B23" s="1170"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5"/>
      <c r="D23" s="889"/>
      <c r="E23" s="1171"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2"/>
      <c r="G23" s="889"/>
      <c r="H23" s="1166" t="s">
        <v>2928</v>
      </c>
      <c r="I23" s="1021">
        <v>160</v>
      </c>
      <c r="J23" s="889"/>
    </row>
    <row r="24" spans="2:10">
      <c r="B24" s="1162" t="s">
        <v>3051</v>
      </c>
      <c r="C24" s="1161" t="s">
        <v>751</v>
      </c>
      <c r="D24" s="889" t="b">
        <f>C24="Yes"</f>
        <v>0</v>
      </c>
      <c r="E24" s="1170" t="str">
        <f>"| "&amp;IF(CharRace="Troll","Berserking | ","")</f>
        <v xml:space="preserve">| </v>
      </c>
      <c r="F24" s="1173"/>
      <c r="G24" s="889"/>
      <c r="H24" s="1166" t="s">
        <v>2957</v>
      </c>
      <c r="I24" s="1021">
        <v>200</v>
      </c>
      <c r="J24" s="889"/>
    </row>
    <row r="25" spans="2:10">
      <c r="B25" s="1166" t="s">
        <v>2939</v>
      </c>
      <c r="C25" s="1021">
        <v>0</v>
      </c>
      <c r="D25" s="889"/>
      <c r="E25" s="1162" t="s">
        <v>3051</v>
      </c>
      <c r="F25" s="1161" t="s">
        <v>751</v>
      </c>
      <c r="G25" s="889" t="b">
        <f>F25="Yes"</f>
        <v>0</v>
      </c>
      <c r="H25" s="1166" t="s">
        <v>2958</v>
      </c>
      <c r="I25" s="1021">
        <v>240</v>
      </c>
      <c r="J25" s="889"/>
    </row>
    <row r="26" spans="2:10">
      <c r="B26" s="1162" t="s">
        <v>3052</v>
      </c>
      <c r="C26" s="1161" t="s">
        <v>751</v>
      </c>
      <c r="D26" s="889" t="b">
        <f>C26="Yes"</f>
        <v>0</v>
      </c>
      <c r="E26" s="1166" t="s">
        <v>2950</v>
      </c>
      <c r="F26" s="1021">
        <v>0</v>
      </c>
      <c r="G26" s="889"/>
      <c r="H26" s="1166" t="s">
        <v>2959</v>
      </c>
      <c r="I26" s="1021">
        <v>280</v>
      </c>
      <c r="J26" s="889"/>
    </row>
    <row r="27" spans="2:10">
      <c r="B27" s="1162" t="s">
        <v>3053</v>
      </c>
      <c r="C27" s="1161" t="s">
        <v>751</v>
      </c>
      <c r="D27" s="889" t="b">
        <f>C27="Yes"</f>
        <v>0</v>
      </c>
      <c r="E27" s="1162" t="s">
        <v>3052</v>
      </c>
      <c r="F27" s="1161" t="s">
        <v>751</v>
      </c>
      <c r="G27" s="889" t="b">
        <f>F27="Yes"</f>
        <v>0</v>
      </c>
      <c r="H27" s="1166" t="s">
        <v>2960</v>
      </c>
      <c r="I27" s="1021">
        <v>320</v>
      </c>
      <c r="J27" s="889"/>
    </row>
    <row r="28" spans="2:10">
      <c r="B28" s="1166" t="s">
        <v>2940</v>
      </c>
      <c r="C28" s="1021">
        <v>90</v>
      </c>
      <c r="D28" s="889"/>
      <c r="E28" s="1162" t="s">
        <v>3054</v>
      </c>
      <c r="F28" s="1161" t="s">
        <v>751</v>
      </c>
      <c r="G28" s="889" t="b">
        <f>F28="Yes"</f>
        <v>0</v>
      </c>
      <c r="H28" s="1166" t="s">
        <v>2961</v>
      </c>
      <c r="I28" s="1021">
        <v>360</v>
      </c>
      <c r="J28" s="889"/>
    </row>
    <row r="29" spans="2:10">
      <c r="B29" s="1166" t="s">
        <v>2941</v>
      </c>
      <c r="C29" s="1021">
        <v>180</v>
      </c>
      <c r="D29" s="889"/>
      <c r="E29" s="1166" t="s">
        <v>2951</v>
      </c>
      <c r="F29" s="1021">
        <v>180</v>
      </c>
      <c r="G29" s="889"/>
      <c r="H29" s="1166" t="s">
        <v>2962</v>
      </c>
      <c r="I29" s="1021">
        <v>400</v>
      </c>
      <c r="J29" s="889"/>
    </row>
    <row r="30" spans="2:10">
      <c r="B30" s="1166" t="s">
        <v>2942</v>
      </c>
      <c r="C30" s="1021">
        <v>270</v>
      </c>
      <c r="D30" s="889"/>
      <c r="E30" s="1166" t="s">
        <v>2952</v>
      </c>
      <c r="F30" s="1021">
        <v>360</v>
      </c>
      <c r="G30" s="889"/>
      <c r="H30" s="1166" t="s">
        <v>2963</v>
      </c>
      <c r="I30" s="1021">
        <v>440</v>
      </c>
      <c r="J30" s="889"/>
    </row>
    <row r="31" spans="2:10" ht="13.5" thickBot="1">
      <c r="B31" s="1166" t="s">
        <v>2943</v>
      </c>
      <c r="C31" s="1021">
        <v>360</v>
      </c>
      <c r="D31" s="889"/>
      <c r="E31" s="1167" t="s">
        <v>2953</v>
      </c>
      <c r="F31" s="1168">
        <v>540</v>
      </c>
      <c r="G31" s="889"/>
      <c r="H31" s="1166" t="s">
        <v>2964</v>
      </c>
      <c r="I31" s="1021">
        <v>480</v>
      </c>
      <c r="J31" s="889"/>
    </row>
    <row r="32" spans="2:10">
      <c r="B32" s="1166" t="s">
        <v>2944</v>
      </c>
      <c r="C32" s="1021">
        <v>450</v>
      </c>
      <c r="D32" s="889"/>
      <c r="H32" s="1166" t="s">
        <v>2965</v>
      </c>
      <c r="I32" s="1021">
        <v>520</v>
      </c>
      <c r="J32" s="889"/>
    </row>
    <row r="33" spans="2:10" ht="13.5" thickBot="1">
      <c r="B33" s="1167" t="s">
        <v>2954</v>
      </c>
      <c r="C33" s="1168">
        <v>540</v>
      </c>
      <c r="D33" s="889"/>
      <c r="H33" s="1167" t="s">
        <v>2966</v>
      </c>
      <c r="I33" s="1168">
        <v>560</v>
      </c>
      <c r="J33" s="889"/>
    </row>
    <row r="34" spans="2:10">
      <c r="J34" s="889"/>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4" t="s">
        <v>126</v>
      </c>
      <c r="D1" s="1304" t="s">
        <v>1095</v>
      </c>
      <c r="E1" s="15" t="s">
        <v>1096</v>
      </c>
      <c r="F1" s="390"/>
      <c r="G1" s="1298" t="s">
        <v>3057</v>
      </c>
      <c r="H1" s="1299">
        <f>ohhit</f>
        <v>0.97956097560975608</v>
      </c>
      <c r="I1" s="1300">
        <f>H1/H2*3*0.2*cpot*'Damage Calc'!$Q$39</f>
        <v>2.5784731215973284</v>
      </c>
      <c r="N1" s="87" t="s">
        <v>786</v>
      </c>
      <c r="O1" s="88">
        <f>bcpdodge+bcpmiss</f>
        <v>2.0000000000000004E-2</v>
      </c>
      <c r="P1" s="88">
        <f>bfindodge+bfinmiss</f>
        <v>0</v>
      </c>
      <c r="Q1" s="88"/>
      <c r="R1" s="88"/>
      <c r="S1" s="88"/>
      <c r="T1" s="88"/>
      <c r="U1" s="89"/>
      <c r="V1" s="1174"/>
      <c r="W1" s="1175"/>
      <c r="X1" s="1176" t="s">
        <v>1537</v>
      </c>
      <c r="Y1" s="1176" t="s">
        <v>1753</v>
      </c>
      <c r="Z1" s="1175"/>
      <c r="AA1" s="1175"/>
      <c r="AB1" s="1177"/>
    </row>
    <row r="2" spans="2:31">
      <c r="B2" s="15" t="s">
        <v>2008</v>
      </c>
      <c r="C2" s="1304">
        <f>IF(dm4p,Optimize!C30,0)</f>
        <v>0</v>
      </c>
      <c r="D2" s="1304">
        <f>IF(dm4p,Optimize!C35,0)</f>
        <v>0</v>
      </c>
      <c r="E2" s="1304">
        <f>IF(dm4p,Optimize!C40,0)</f>
        <v>0</v>
      </c>
      <c r="F2" s="390"/>
      <c r="G2" s="1301" t="s">
        <v>3058</v>
      </c>
      <c r="H2" s="1302">
        <f>ohspd</f>
        <v>1.4</v>
      </c>
      <c r="I2" s="1303"/>
      <c r="N2" s="32" t="s">
        <v>787</v>
      </c>
      <c r="O2" s="90">
        <f>Q2*(O1/(1-O1))+P2</f>
        <v>40.163265306122447</v>
      </c>
      <c r="P2" s="33">
        <f>IF(Talents!O28="Yes", 45-impSS, IF(instatk="V",20+ohspd*10-cpot*3*0.2,IF(mhtype="dagger",60,IF(hemo,35,45-impSS))))</f>
        <v>40</v>
      </c>
      <c r="Q2" s="33">
        <f>ROUNDUP(P2*0.2, 0)</f>
        <v>8</v>
      </c>
      <c r="R2" s="33" t="s">
        <v>570</v>
      </c>
      <c r="S2" s="33">
        <v>180</v>
      </c>
      <c r="T2" s="33"/>
      <c r="U2" s="91"/>
      <c r="V2" s="1178" t="s">
        <v>1538</v>
      </c>
      <c r="W2" s="1179"/>
      <c r="X2" s="1180">
        <f>IF(allowrupt,IF(AND(poison,allowenv),MAX(AG56:AG284),MAX(AG56:AG150,AG234:AG284)),IF(AND(poison,allowenv),MAX(AG198:AG284),MAX(AG234:AG284)))</f>
        <v>570.51064106310048</v>
      </c>
      <c r="Y2" s="1180"/>
      <c r="Z2" s="1181">
        <f>MATCH(X2,AG55:AG284,0)+60</f>
        <v>77</v>
      </c>
      <c r="AA2" s="1179" t="s">
        <v>1539</v>
      </c>
      <c r="AB2" s="1182"/>
      <c r="AC2" s="108"/>
      <c r="AD2" s="27"/>
      <c r="AE2" s="391"/>
    </row>
    <row r="3" spans="2:31">
      <c r="B3" s="15" t="s">
        <v>2009</v>
      </c>
      <c r="C3" s="1304">
        <f>IF(dm4p,Optimize!C31,0)</f>
        <v>0</v>
      </c>
      <c r="D3" s="1304">
        <f>IF(dm4p,Optimize!C36,0)</f>
        <v>0</v>
      </c>
      <c r="E3" s="1304">
        <f>IF(dm4p,Optimize!C41,0)</f>
        <v>0</v>
      </c>
      <c r="F3" s="390"/>
      <c r="I3" s="44" t="s">
        <v>2254</v>
      </c>
      <c r="J3" s="44" t="s">
        <v>2255</v>
      </c>
      <c r="K3" t="s">
        <v>571</v>
      </c>
      <c r="L3" t="s">
        <v>572</v>
      </c>
      <c r="N3" s="32" t="s">
        <v>3024</v>
      </c>
      <c r="O3" s="33">
        <f>P3*(P1/(1-P1))*(1-Qrec)+P3</f>
        <v>25</v>
      </c>
      <c r="P3" s="33">
        <f>25</f>
        <v>25</v>
      </c>
      <c r="Q3" s="33"/>
      <c r="R3" s="33" t="s">
        <v>573</v>
      </c>
      <c r="S3" s="33">
        <f>(60+180)/2</f>
        <v>120</v>
      </c>
      <c r="T3" s="92">
        <f>1-P1-T4</f>
        <v>0.77888830774793893</v>
      </c>
      <c r="U3" s="93">
        <f>T3/T5</f>
        <v>0.77888830774793893</v>
      </c>
      <c r="V3" s="1178" t="s">
        <v>1541</v>
      </c>
      <c r="W3" s="1179"/>
      <c r="X3" s="1183">
        <f>VLOOKUP($X$2,CHOOSE({1,2},AG56:AG284,E56:E284),2,FALSE)/VLOOKUP($X$2,CHOOSE({1,2},AG56:AG284,Q56:Q284),2,FALSE)+IF(arush,IF(time=0,MIN(1,150/(instcost*N43+evicost))/300,MIN(1,totalARTicks*10/(instcost*N43+evicost))/time)*$F$24/IF(evidmg&gt;0,evidmg,$F$24),0)</f>
        <v>2.3616278845597733E-3</v>
      </c>
      <c r="Y3" s="1183">
        <f>IF($W$15&gt;1, X3/$W$15, X3)</f>
        <v>2.3616278845597733E-3</v>
      </c>
      <c r="Z3" s="1180">
        <f>VLOOKUP($X$2,CHOOSE({1,2},AG56:AG284,Q56:Q284),2,FALSE)</f>
        <v>16.158312420109564</v>
      </c>
      <c r="AA3" s="1179" t="s">
        <v>1542</v>
      </c>
      <c r="AB3" s="1182"/>
      <c r="AC3" s="110"/>
      <c r="AD3" s="96"/>
      <c r="AE3" s="392"/>
    </row>
    <row r="4" spans="2:31">
      <c r="B4" s="15" t="s">
        <v>2010</v>
      </c>
      <c r="C4" s="1304">
        <f>IF(dm4p,Optimize!C32,0)</f>
        <v>0</v>
      </c>
      <c r="D4" s="1304">
        <f>IF(dm4p,Optimize!C37,0)</f>
        <v>0</v>
      </c>
      <c r="E4" s="1304">
        <f>IF(dm4p,Optimize!C42,0)</f>
        <v>0</v>
      </c>
      <c r="F4" s="394"/>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575</v>
      </c>
      <c r="O4" s="33">
        <f>P4*(P1/(1-P1))*(1-Qrec)+P4</f>
        <v>35</v>
      </c>
      <c r="P4" s="33">
        <f>35-as4p*10</f>
        <v>35</v>
      </c>
      <c r="Q4" s="33"/>
      <c r="R4" s="33" t="s">
        <v>576</v>
      </c>
      <c r="S4" s="33">
        <f>185+40*dm2p</f>
        <v>185</v>
      </c>
      <c r="T4" s="92">
        <f>fincrit</f>
        <v>0.22111169225206101</v>
      </c>
      <c r="U4" s="93">
        <f>T4/T5</f>
        <v>0.22111169225206101</v>
      </c>
      <c r="V4" s="1178" t="s">
        <v>1544</v>
      </c>
      <c r="W4" s="1179"/>
      <c r="X4" s="1183">
        <f>VLOOKUP($X$2,CHOOSE({1,2},AG56:AG284,D56:D284),2,FALSE)/VLOOKUP($X$2,CHOOSE({1,2},AG56:AG284,Q56:Q284),2,FALSE)</f>
        <v>6.1887651012086285E-2</v>
      </c>
      <c r="Y4" s="1183">
        <f>IF($W$15&gt;1, X4/$W$15, X4)</f>
        <v>6.1887651012086285E-2</v>
      </c>
      <c r="Z4" s="1180"/>
      <c r="AA4" s="1179" t="s">
        <v>1545</v>
      </c>
      <c r="AB4" s="1182"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2011</v>
      </c>
      <c r="C5" s="1304">
        <f>IF(dm4p,Optimize!C33,0)</f>
        <v>0</v>
      </c>
      <c r="D5" s="1304">
        <f>IF(dm4p,Optimize!C38,0)</f>
        <v>0</v>
      </c>
      <c r="E5" s="1304">
        <f>IF(dm4p,Optimize!C43,0)</f>
        <v>0</v>
      </c>
      <c r="F5" s="394"/>
      <c r="G5" s="27" t="s">
        <v>3001</v>
      </c>
      <c r="I5" s="95">
        <f>25</f>
        <v>25</v>
      </c>
      <c r="J5" s="86"/>
      <c r="N5" s="32" t="s">
        <v>577</v>
      </c>
      <c r="O5" s="33">
        <f>1*(1+(ievis*0.05))*(1+(agg*0.02))</f>
        <v>1.06</v>
      </c>
      <c r="P5" s="90">
        <f>(1*U3+2*U4)</f>
        <v>1.2211116922520611</v>
      </c>
      <c r="Q5" s="33"/>
      <c r="R5" s="33" t="s">
        <v>578</v>
      </c>
      <c r="S5" s="90">
        <f>(ohavg+ap/APtoDPS*OHnorm)*(instactualhit+(1+((leth*0.06+2)-1)*(cfact-1))*instactualcrit)*(1+sa*0.1)*(0.5+0.05*dws)+avipdam</f>
        <v>850.31292568652589</v>
      </c>
      <c r="T5" s="92">
        <f>T4+T3</f>
        <v>1</v>
      </c>
      <c r="U5" s="91"/>
      <c r="V5" s="1178" t="s">
        <v>1546</v>
      </c>
      <c r="W5" s="1179"/>
      <c r="X5" s="1183">
        <f>VLOOKUP($X$2,CHOOSE({1,2},AG56:AG284,I56:I284),2,FALSE)/VLOOKUP($X$2,CHOOSE({1,2},AG56:AG284,Q56:Q284),2,FALSE)+IF(arush,IF(time=0,MIN(1,150/(instcost*N43+evicost))*5/300,MIN(1,totalARTicks*10/(instcost*N43+evicost))*5/time),0)</f>
        <v>0.30886886428081306</v>
      </c>
      <c r="Y5" s="1183">
        <f>IF($W$15&gt;1, X5/$W$15, X5)</f>
        <v>0.30886886428081306</v>
      </c>
      <c r="Z5" s="1184">
        <f>IF(time=0, VLOOKUP($X$2,CHOOSE({1,2},AG56:AG284,V56:V284),2,FALSE), MIN(VLOOKUP($X$2,CHOOSE({1,2},AG56:AG284,V56:V284),2,FALSE),MIN(1,1-$S$49/time)))</f>
        <v>0.98</v>
      </c>
      <c r="AA5" s="1179" t="s">
        <v>407</v>
      </c>
      <c r="AB5" s="1182"/>
      <c r="AC5" s="108"/>
      <c r="AD5" s="27"/>
    </row>
    <row r="6" spans="2:31">
      <c r="B6" s="15" t="s">
        <v>2012</v>
      </c>
      <c r="C6" s="1304">
        <f>IF(dm4p,Optimize!C34,0)</f>
        <v>0</v>
      </c>
      <c r="D6" s="1304">
        <f>IF(dm4p,Optimize!C39,0)</f>
        <v>0</v>
      </c>
      <c r="E6" s="1304">
        <f>IF(dm4p,Optimize!C44,0)</f>
        <v>0</v>
      </c>
      <c r="F6" s="394"/>
      <c r="G6" t="s">
        <v>579</v>
      </c>
      <c r="J6" s="86"/>
      <c r="K6" t="s">
        <v>580</v>
      </c>
      <c r="L6" t="str">
        <f>IF(Talents!O28="Yes", "SS", IF(AND(Talents!$O$29="Yes",ohtemp="Instant Poison VII"),"V",IF(mhtype="dagger",IF(AND(ohtype="dagger",mutilate=1),"Mut","BS"),IF(hemo,"HEMO","SS"))))</f>
        <v>SS</v>
      </c>
      <c r="N6" s="32" t="s">
        <v>581</v>
      </c>
      <c r="O6" s="90">
        <f>mhdps+ohdps</f>
        <v>797.97744112991768</v>
      </c>
      <c r="P6" s="33"/>
      <c r="Q6" s="33"/>
      <c r="R6" s="33" t="s">
        <v>582</v>
      </c>
      <c r="S6" s="90">
        <f>(1.5+talSCallInstBon)*(MHavg+ap/APtoDPS*MHnorm+170)*(instactualhit+(1+((leth*0.06+2)-1)*(cfact-1))*instactualcrit)*(1+sa*0.1+0.04*opp+0.02*agg+Slayer4value-1)</f>
        <v>2096.8643883549157</v>
      </c>
      <c r="T6" s="92">
        <f>insthit</f>
        <v>0.76331054159298017</v>
      </c>
      <c r="U6" s="93">
        <f>T6/T8</f>
        <v>0.77888830774793893</v>
      </c>
      <c r="V6" s="1178" t="s">
        <v>1547</v>
      </c>
      <c r="W6" s="1179"/>
      <c r="X6" s="1180">
        <f>IF(VLOOKUP($X$2,CHOOSE({1,2},AG56:AG284,AB56:AB284),2,FALSE)&gt;0,VLOOKUP($X$2,CHOOSE({1,2},AG56:AG284,AB56:AB284),2,FALSE)/VLOOKUP($X$2,CHOOSE({1,2},AG56:AG284,E56:E284),2,FALSE),F24)</f>
        <v>1459.2710844590233</v>
      </c>
      <c r="Y6" s="1180"/>
      <c r="Z6" s="1184">
        <f>IF(time=0, VLOOKUP($X$2,CHOOSE({1,2},AG56:AG284,U56:U284),2,FALSE), MIN(VLOOKUP($X$2,CHOOSE({1,2},AG56:AG284,U56:U284),2,FALSE), MIN(1,1-$R$49/time)))</f>
        <v>0.9966666666666667</v>
      </c>
      <c r="AA6" s="1179" t="s">
        <v>1548</v>
      </c>
      <c r="AB6" s="1182"/>
      <c r="AC6" s="108"/>
      <c r="AD6" s="27"/>
    </row>
    <row r="7" spans="2:31">
      <c r="B7" s="17" t="s">
        <v>2014</v>
      </c>
      <c r="C7" s="26">
        <f>eec*10+I1*(Slayer2val-1)</f>
        <v>124.72493981911916</v>
      </c>
      <c r="D7" s="15"/>
      <c r="E7" s="26"/>
      <c r="F7" s="394"/>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1288.9417237527728</v>
      </c>
      <c r="P7" s="90">
        <f>O7/O2</f>
        <v>32.092553081242819</v>
      </c>
      <c r="Q7" s="33" t="s">
        <v>584</v>
      </c>
      <c r="R7" s="33" t="s">
        <v>585</v>
      </c>
      <c r="S7" s="90">
        <f>(MHavg+ap/APtoDPS*MHnorm+98)*(instactualhit+(1+((leth*0.06+2)-1)*(cfact-1))*instactualcrit)*(1+sa*0.1+0.02*agg+Slayer4value-1)</f>
        <v>1288.9417237527728</v>
      </c>
      <c r="T7" s="92">
        <f>instcrit</f>
        <v>0.21668945840701978</v>
      </c>
      <c r="U7" s="93">
        <f>T7/T8</f>
        <v>0.22111169225206101</v>
      </c>
      <c r="V7" s="1178" t="s">
        <v>1549</v>
      </c>
      <c r="W7" s="1179"/>
      <c r="X7" s="1180">
        <f>VLOOKUP($X$2,CHOOSE({1,2},AG56:AG284,AA56:AA284),2,FALSE)</f>
        <v>1759.7269451999114</v>
      </c>
      <c r="Y7" s="1180"/>
      <c r="Z7" s="1184">
        <f>IF(time=0, VLOOKUP($X$2,CHOOSE({1,2},AG56:AG284,W56:W284),2,FALSE), MIN(VLOOKUP($X$2,CHOOSE({1,2},AG56:AG284,W56:W284),2,FALSE),MIN(1,1-$T$49/time)))</f>
        <v>0</v>
      </c>
      <c r="AA7" s="1179" t="s">
        <v>3029</v>
      </c>
      <c r="AB7" s="1182"/>
      <c r="AC7" s="108"/>
      <c r="AD7" s="27"/>
    </row>
    <row r="8" spans="2:31">
      <c r="B8" s="393"/>
      <c r="C8" s="394"/>
      <c r="D8" s="390"/>
      <c r="E8" s="394"/>
      <c r="F8" s="394"/>
      <c r="G8" t="s">
        <v>320</v>
      </c>
      <c r="H8">
        <f>eec</f>
        <v>12.395139788263995</v>
      </c>
      <c r="I8" s="86"/>
      <c r="J8" s="86"/>
      <c r="N8" s="32"/>
      <c r="O8" s="98"/>
      <c r="P8" s="33"/>
      <c r="Q8" s="33"/>
      <c r="R8" s="33" t="s">
        <v>586</v>
      </c>
      <c r="S8" s="90">
        <f>Slayer4value*(MHavg+ap/APtoDPS*MHnorm)*(1.1+talSCallInstBon)*(instactualhit+(1+((leth*0.06+2)-1)*(cfact-1))*instactualcrit)+420*(1+raidcrit)*debuffon</f>
        <v>1606.626536142983</v>
      </c>
      <c r="T8" s="92">
        <f>T6+T7</f>
        <v>0.98</v>
      </c>
      <c r="U8" s="91"/>
      <c r="V8" s="1185" t="s">
        <v>1550</v>
      </c>
      <c r="W8" s="1179"/>
      <c r="X8" s="1180">
        <f>VLOOKUP($X$2,CHOOSE({1,2},AG56:AG284,Z56:Z284),2,FALSE)</f>
        <v>2869.3780204034333</v>
      </c>
      <c r="Y8" s="1180">
        <f>X8/$Z$3</f>
        <v>177.57906554847867</v>
      </c>
      <c r="Z8" s="1180"/>
      <c r="AA8" s="1179"/>
      <c r="AB8" s="1182"/>
      <c r="AC8" s="27"/>
      <c r="AD8" s="27"/>
      <c r="AE8" s="197"/>
    </row>
    <row r="9" spans="2:31">
      <c r="B9" s="393"/>
      <c r="C9" s="394"/>
      <c r="D9" s="390"/>
      <c r="E9" s="394"/>
      <c r="F9" s="390"/>
      <c r="G9" t="s">
        <v>324</v>
      </c>
      <c r="H9">
        <f>sndeec</f>
        <v>13.168681724743193</v>
      </c>
      <c r="I9" s="28"/>
      <c r="J9" s="396"/>
      <c r="K9" s="395"/>
      <c r="L9" s="395"/>
      <c r="N9" s="32"/>
      <c r="O9" s="99"/>
      <c r="P9" s="33"/>
      <c r="Q9" s="33"/>
      <c r="R9" s="33" t="s">
        <v>587</v>
      </c>
      <c r="S9" s="90">
        <f>((MHavg+ap/APtoDPS*MHspd)*1.25)*(instactualhit+(1+((leth*0.06+2)-1)*(cfact-1))*instactualcrit)</f>
        <v>1302.8717781345997</v>
      </c>
      <c r="T9" s="33"/>
      <c r="U9" s="91"/>
      <c r="V9" s="1178" t="s">
        <v>1551</v>
      </c>
      <c r="W9" s="1179"/>
      <c r="X9" s="1180">
        <v>0</v>
      </c>
      <c r="Y9" s="1180">
        <f>X9/$Z$3</f>
        <v>0</v>
      </c>
      <c r="Z9" s="1179">
        <f>VLOOKUP($X$2,CHOOSE({1,2},AG56:AG284,X56:X284),2,FALSE)</f>
        <v>1</v>
      </c>
      <c r="AA9" s="1179" t="s">
        <v>321</v>
      </c>
      <c r="AB9" s="1182"/>
      <c r="AC9" s="108"/>
      <c r="AD9" s="27"/>
      <c r="AE9" s="197"/>
    </row>
    <row r="10" spans="2:31">
      <c r="B10" s="393"/>
      <c r="C10" s="394"/>
      <c r="D10" s="390"/>
      <c r="E10" s="394"/>
      <c r="F10" s="390"/>
      <c r="G10" s="390"/>
      <c r="H10" s="390"/>
      <c r="I10" s="390"/>
      <c r="K10" s="86"/>
      <c r="M10" s="97"/>
      <c r="N10" s="32"/>
      <c r="O10" s="33"/>
      <c r="P10" s="33"/>
      <c r="Q10" s="33"/>
      <c r="R10" s="33" t="s">
        <v>839</v>
      </c>
      <c r="S10" s="90">
        <f>Slayer4value*((1+0.04*opp)*(MHavg+101+ap/APtoDPS*MHnorm+(0.5+0.05*dws)*(ohavg+ap/APtoDPS*OHnorm)+101*(1+0.1*dws))*(1+0.5*IF(Talents!$O$18="Yes",1,0))*(instactualhit+(1+((leth*0.06+2)-1)*(cfact-1))*instactualcrit))</f>
        <v>2913.1167823175683</v>
      </c>
      <c r="T10" s="33"/>
      <c r="U10" s="91"/>
      <c r="V10" s="1186" t="s">
        <v>115</v>
      </c>
      <c r="W10" s="1187"/>
      <c r="X10" s="1188">
        <f>IF(gs=0,0,S9*(1-O1)*gs)</f>
        <v>0</v>
      </c>
      <c r="Y10" s="1188">
        <f>X10/20*gs</f>
        <v>0</v>
      </c>
      <c r="Z10" s="1189"/>
      <c r="AA10" s="1189"/>
      <c r="AB10" s="1190" t="s">
        <v>116</v>
      </c>
      <c r="AC10" s="108"/>
      <c r="AD10" s="27"/>
      <c r="AE10" s="197"/>
    </row>
    <row r="11" spans="2:31">
      <c r="G11" s="390"/>
      <c r="H11" s="390"/>
      <c r="I11" s="390"/>
      <c r="K11" s="86"/>
      <c r="M11" s="97"/>
      <c r="N11" s="100" t="s">
        <v>840</v>
      </c>
      <c r="O11" s="33"/>
      <c r="P11" s="33"/>
      <c r="Q11" s="33"/>
      <c r="R11" s="33"/>
      <c r="S11" s="33"/>
      <c r="T11" s="33"/>
      <c r="U11" s="91"/>
      <c r="V11" s="1191" t="s">
        <v>316</v>
      </c>
      <c r="W11" s="1183">
        <f>VLOOKUP($X$2,CHOOSE({1,2},AG56:AG284,F56:F284),2,FALSE)/VLOOKUP($X$2,CHOOSE({1,2},AG56:AG284,Q56:Q284),2,FALSE)</f>
        <v>0</v>
      </c>
      <c r="X11" s="1183">
        <f>IF($W$15&gt;1, W11/$W$15, W11)</f>
        <v>0</v>
      </c>
      <c r="Y11" s="1192"/>
      <c r="Z11" s="1192" t="s">
        <v>1540</v>
      </c>
      <c r="AA11" s="1192">
        <f>VLOOKUP($X$2,CHOOSE({1,2},AG56:AG284,H56:H284),2,FALSE)</f>
        <v>2</v>
      </c>
      <c r="AB11" s="1192"/>
      <c r="AC11" s="108"/>
      <c r="AD11" s="27"/>
      <c r="AE11" s="397"/>
    </row>
    <row r="12" spans="2:31">
      <c r="B12" s="17" t="s">
        <v>420</v>
      </c>
      <c r="C12" s="313" t="s">
        <v>923</v>
      </c>
      <c r="D12" s="313" t="s">
        <v>125</v>
      </c>
      <c r="E12" s="313" t="s">
        <v>814</v>
      </c>
      <c r="F12" s="313" t="s">
        <v>318</v>
      </c>
      <c r="G12" s="390"/>
      <c r="H12" s="390"/>
      <c r="I12" s="390"/>
      <c r="K12" s="86"/>
      <c r="M12" s="97"/>
      <c r="N12" s="101" t="s">
        <v>90</v>
      </c>
      <c r="O12" s="102"/>
      <c r="P12" s="102"/>
      <c r="Q12" s="102"/>
      <c r="R12" s="102"/>
      <c r="S12" s="102"/>
      <c r="T12" s="102"/>
      <c r="U12" s="103"/>
      <c r="V12" s="1191" t="s">
        <v>317</v>
      </c>
      <c r="W12" s="1193">
        <f>VLOOKUP($X$2,CHOOSE({1,2},AG56:AG284,AC56:AC284),2,FALSE)</f>
        <v>0</v>
      </c>
      <c r="X12" s="1193"/>
      <c r="Y12" s="1192"/>
      <c r="Z12" s="1192" t="s">
        <v>1543</v>
      </c>
      <c r="AA12" s="1192">
        <f>VLOOKUP($X$2,CHOOSE({1,2},AG56:AG284,M56:M284),2,FALSE)/VLOOKUP($X$2,CHOOSE({1,2},AG56:AG284,H56:H284),2,FALSE)</f>
        <v>3</v>
      </c>
      <c r="AB12" s="1192"/>
      <c r="AC12" s="28"/>
      <c r="AD12" s="28"/>
      <c r="AE12" s="197"/>
    </row>
    <row r="13" spans="2:31" ht="13.5" thickBot="1">
      <c r="B13" s="207" t="s">
        <v>126</v>
      </c>
      <c r="C13">
        <v>1</v>
      </c>
      <c r="D13" s="25">
        <f>(6+3*C13+3*nb2p)*(1+0.15*isnd)</f>
        <v>17.399999999999999</v>
      </c>
      <c r="E13" s="398">
        <f>25-(5*relent*C13)-(25*C2)</f>
        <v>20</v>
      </c>
      <c r="F13" s="375" t="s">
        <v>322</v>
      </c>
      <c r="G13" s="390"/>
      <c r="H13" s="390"/>
      <c r="I13" s="390"/>
      <c r="K13" s="97"/>
      <c r="L13" s="97"/>
      <c r="M13" s="97"/>
      <c r="N13" s="97"/>
      <c r="O13" s="395"/>
      <c r="P13" s="395"/>
      <c r="Q13" s="395"/>
      <c r="R13" s="97"/>
      <c r="S13" s="28"/>
      <c r="V13" s="1191" t="s">
        <v>1027</v>
      </c>
      <c r="W13" s="1193"/>
      <c r="X13" s="1193"/>
      <c r="Y13" s="1192"/>
      <c r="Z13" s="1192" t="s">
        <v>270</v>
      </c>
      <c r="AA13" s="1183">
        <f>VLOOKUP($X$2,CHOOSE({1,2},AG56:AG284,C56:C284),2,FALSE)/VLOOKUP($X$2,CHOOSE({1,2},AG56:AG284,Q56:Q284),2,FALSE)</f>
        <v>6.1887651012086285E-2</v>
      </c>
      <c r="AB13" s="1183">
        <f>IF($W$15&gt;1, AA13/$W$15, AA13)</f>
        <v>6.1887651012086285E-2</v>
      </c>
      <c r="AE13" s="197"/>
    </row>
    <row r="14" spans="2:31">
      <c r="B14" s="207" t="s">
        <v>126</v>
      </c>
      <c r="C14">
        <v>2</v>
      </c>
      <c r="D14" s="25">
        <f>(6+3*C14+3*nb2p)*(1+0.15*isnd)</f>
        <v>21.75</v>
      </c>
      <c r="E14" s="398">
        <f>25-(5*relent*C14)-(25*C3)</f>
        <v>15</v>
      </c>
      <c r="F14" s="375" t="s">
        <v>322</v>
      </c>
      <c r="G14" s="390"/>
      <c r="H14" s="1564" t="s">
        <v>319</v>
      </c>
      <c r="I14" s="1565"/>
      <c r="J14" s="1286">
        <v>1</v>
      </c>
      <c r="K14" s="1287">
        <v>2</v>
      </c>
      <c r="L14" s="1287">
        <v>3</v>
      </c>
      <c r="M14" s="1287">
        <v>4</v>
      </c>
      <c r="N14" s="1288">
        <v>5</v>
      </c>
      <c r="O14" s="395"/>
      <c r="P14" s="395"/>
      <c r="Q14" s="395"/>
      <c r="R14" s="97"/>
      <c r="V14" s="1191" t="s">
        <v>3022</v>
      </c>
      <c r="W14" s="1183">
        <f>VLOOKUP($X$2,CHOOSE({1,2},AG56:AG284,G56:G284),2,FALSE)/VLOOKUP($X$2,CHOOSE({1,2},AG56:AG284,Q56:Q284),2,FALSE)</f>
        <v>0</v>
      </c>
      <c r="X14" s="1183">
        <f>IF($W$15&gt;1, W14/$W$15, W14)</f>
        <v>0</v>
      </c>
      <c r="Y14" s="1192"/>
      <c r="Z14" s="1192" t="s">
        <v>3199</v>
      </c>
      <c r="AA14" s="1192">
        <f>IF(Talents!N32,(physicaldps*armorpostEA-physicaldps*armorpreEA)*Z7,0)</f>
        <v>0</v>
      </c>
      <c r="AB14" s="1192"/>
      <c r="AE14" s="397"/>
    </row>
    <row r="15" spans="2:31">
      <c r="B15" s="207" t="s">
        <v>126</v>
      </c>
      <c r="C15">
        <v>3</v>
      </c>
      <c r="D15" s="25">
        <f>(6+3*C15+3*nb2p)*(1+0.15*isnd)</f>
        <v>26.099999999999998</v>
      </c>
      <c r="E15" s="398">
        <f>25-(5*relent*C15)-(25*C4)</f>
        <v>10</v>
      </c>
      <c r="F15" s="375" t="s">
        <v>322</v>
      </c>
      <c r="G15" s="390"/>
      <c r="H15" s="1562" t="s">
        <v>323</v>
      </c>
      <c r="I15" s="1563"/>
      <c r="J15" s="1295">
        <f t="shared" ref="J15:N18" si="0">IF(instatk="Mut",R36,J43)</f>
        <v>0.39999999999999991</v>
      </c>
      <c r="K15" s="1296">
        <f t="shared" si="0"/>
        <v>1.4</v>
      </c>
      <c r="L15" s="1296">
        <f t="shared" si="0"/>
        <v>2.4</v>
      </c>
      <c r="M15" s="1296">
        <f t="shared" si="0"/>
        <v>3.4</v>
      </c>
      <c r="N15" s="1297">
        <f t="shared" si="0"/>
        <v>4.4000000000000004</v>
      </c>
      <c r="O15" s="86"/>
      <c r="P15" s="86"/>
      <c r="Q15" s="86"/>
      <c r="V15" s="1191" t="s">
        <v>3021</v>
      </c>
      <c r="W15" s="1183">
        <f>X3+X4+X5+AA13+W11+W14</f>
        <v>0.43500579418954538</v>
      </c>
      <c r="X15" s="1183">
        <f>envsec+easec+evisec+rupsec+sndsec+instsec</f>
        <v>0.43500579418954544</v>
      </c>
      <c r="Y15" s="1192"/>
      <c r="Z15" s="1192"/>
      <c r="AA15" s="1192"/>
      <c r="AB15" s="1192"/>
      <c r="AE15" s="197"/>
    </row>
    <row r="16" spans="2:31">
      <c r="B16" s="207" t="s">
        <v>126</v>
      </c>
      <c r="C16">
        <v>4</v>
      </c>
      <c r="D16" s="25">
        <f>(6+3*C16+3*nb2p)*(1+0.15*isnd)</f>
        <v>30.45</v>
      </c>
      <c r="E16" s="398">
        <f>25-(5*relent*C16)-(25*C5)</f>
        <v>5</v>
      </c>
      <c r="F16" s="375" t="s">
        <v>322</v>
      </c>
      <c r="G16" s="390"/>
      <c r="H16" s="1559" t="s">
        <v>325</v>
      </c>
      <c r="I16" s="1011" t="s">
        <v>326</v>
      </c>
      <c r="J16" s="1280">
        <f t="shared" si="0"/>
        <v>1</v>
      </c>
      <c r="K16" s="1281">
        <f t="shared" si="0"/>
        <v>1</v>
      </c>
      <c r="L16" s="1281">
        <f t="shared" si="0"/>
        <v>1</v>
      </c>
      <c r="M16" s="1281">
        <f t="shared" si="0"/>
        <v>1</v>
      </c>
      <c r="N16" s="1282">
        <f t="shared" si="0"/>
        <v>1</v>
      </c>
      <c r="O16" s="86"/>
      <c r="P16" s="86"/>
      <c r="Q16" s="86"/>
      <c r="AE16" s="197"/>
    </row>
    <row r="17" spans="2:31">
      <c r="B17" s="207" t="s">
        <v>126</v>
      </c>
      <c r="C17">
        <v>5</v>
      </c>
      <c r="D17" s="25">
        <f>(6+3*C17+3*nb2p)*(1+0.15*isnd)</f>
        <v>34.799999999999997</v>
      </c>
      <c r="E17" s="398">
        <f>25-(5*relent*C17)-(25*C6)</f>
        <v>0</v>
      </c>
      <c r="F17" s="375" t="s">
        <v>322</v>
      </c>
      <c r="G17" s="390"/>
      <c r="H17" s="1560"/>
      <c r="I17" s="1011" t="s">
        <v>327</v>
      </c>
      <c r="J17" s="1280">
        <f t="shared" si="0"/>
        <v>0</v>
      </c>
      <c r="K17" s="1281">
        <f t="shared" si="0"/>
        <v>0</v>
      </c>
      <c r="L17" s="1281">
        <f t="shared" si="0"/>
        <v>0</v>
      </c>
      <c r="M17" s="1281">
        <f t="shared" si="0"/>
        <v>0</v>
      </c>
      <c r="N17" s="1282">
        <f t="shared" si="0"/>
        <v>0</v>
      </c>
      <c r="O17" s="86"/>
      <c r="P17" s="86"/>
      <c r="Q17" s="86"/>
      <c r="AE17" s="197"/>
    </row>
    <row r="18" spans="2:31" ht="13.5" thickBot="1">
      <c r="B18" s="400"/>
      <c r="C18" s="401"/>
      <c r="D18" s="402"/>
      <c r="E18" s="401"/>
      <c r="F18" s="401"/>
      <c r="G18" s="390"/>
      <c r="H18" s="1561"/>
      <c r="I18" s="1027" t="s">
        <v>328</v>
      </c>
      <c r="J18" s="1283">
        <f t="shared" si="0"/>
        <v>0</v>
      </c>
      <c r="K18" s="1284">
        <f t="shared" si="0"/>
        <v>0</v>
      </c>
      <c r="L18" s="1284">
        <f t="shared" si="0"/>
        <v>0</v>
      </c>
      <c r="M18" s="1284">
        <f t="shared" si="0"/>
        <v>0</v>
      </c>
      <c r="N18" s="1285">
        <f t="shared" si="0"/>
        <v>0</v>
      </c>
      <c r="O18" s="86"/>
      <c r="P18" s="86"/>
      <c r="Q18" s="86"/>
      <c r="AE18" s="197"/>
    </row>
    <row r="19" spans="2:31">
      <c r="B19" s="400"/>
      <c r="C19" s="401"/>
      <c r="D19" s="402"/>
      <c r="E19" s="401"/>
      <c r="F19" s="401"/>
      <c r="H19" s="104"/>
      <c r="AE19" s="197"/>
    </row>
    <row r="20" spans="2:31" ht="18" customHeight="1">
      <c r="B20" s="207" t="s">
        <v>128</v>
      </c>
      <c r="C20">
        <v>1</v>
      </c>
      <c r="D20" s="403" t="s">
        <v>322</v>
      </c>
      <c r="E20" s="398">
        <f>$O$4-(5*relent*C20)-(35*E2)</f>
        <v>30</v>
      </c>
      <c r="F20" s="398">
        <f>(($S$3+$S$4*C20+ap*0.03*C20)*$O$5+IF(AND(Hemorrhage=1,OR(Talents!O25="No",instatk&lt;&gt;"HEMO")),42*HDebuff,0))*$K$4*$P$5</f>
        <v>384.02905544238831</v>
      </c>
      <c r="H20" s="1551" t="s">
        <v>329</v>
      </c>
      <c r="I20" s="1551"/>
      <c r="J20" s="1551"/>
      <c r="K20" s="1551"/>
      <c r="L20" s="1551"/>
      <c r="M20" s="1551"/>
      <c r="N20" s="1551"/>
      <c r="P20" s="1551" t="s">
        <v>330</v>
      </c>
      <c r="Q20" s="1551"/>
      <c r="R20" s="1551"/>
      <c r="S20" s="1551"/>
      <c r="T20" s="1551"/>
      <c r="U20" s="1551"/>
      <c r="V20" s="1551"/>
      <c r="AE20" s="197"/>
    </row>
    <row r="21" spans="2:31" ht="18" customHeight="1">
      <c r="B21" s="207" t="s">
        <v>128</v>
      </c>
      <c r="C21">
        <v>2</v>
      </c>
      <c r="D21" s="403" t="s">
        <v>322</v>
      </c>
      <c r="E21" s="398">
        <f>$O$4-(5*relent*C21)-(35*E3)</f>
        <v>25</v>
      </c>
      <c r="F21" s="398">
        <f>(($S$3+$S$4*C21+ap*0.03*C21)*$O$5+IF(AND(Hemorrhage=1,OR(Talents!O25="No",instatk&lt;&gt;"HEMO")),42*HDebuff,0))*$K$4*$P$5</f>
        <v>652.8395626965472</v>
      </c>
      <c r="H21" s="1552"/>
      <c r="I21" s="1552"/>
      <c r="J21" s="1552"/>
      <c r="K21" s="1552"/>
      <c r="L21" s="1552"/>
      <c r="M21" s="1552"/>
      <c r="N21" s="1552"/>
      <c r="P21" s="1552"/>
      <c r="Q21" s="1552"/>
      <c r="R21" s="1552"/>
      <c r="S21" s="1552"/>
      <c r="T21" s="1552"/>
      <c r="U21" s="1552"/>
      <c r="V21" s="1552"/>
      <c r="AE21" s="197"/>
    </row>
    <row r="22" spans="2:31">
      <c r="B22" s="207" t="s">
        <v>128</v>
      </c>
      <c r="C22">
        <v>3</v>
      </c>
      <c r="D22" s="403" t="s">
        <v>322</v>
      </c>
      <c r="E22" s="398">
        <f>$O$4-(5*relent*C22)-(35*E4)</f>
        <v>20</v>
      </c>
      <c r="F22" s="398">
        <f>(($S$3+$S$4*C22+ap*0.03*C22)*$O$5+IF(AND(Hemorrhage=1,OR(Talents!O25="No",instatk&lt;&gt;"HEMO")),42*HDebuff,0))*$K$4*$P$5</f>
        <v>921.65006995070587</v>
      </c>
      <c r="G22" s="399"/>
      <c r="H22" s="1553" t="s">
        <v>319</v>
      </c>
      <c r="I22" s="1554"/>
      <c r="J22" s="1289">
        <v>1</v>
      </c>
      <c r="K22" s="1290">
        <v>2</v>
      </c>
      <c r="L22" s="1290">
        <v>3</v>
      </c>
      <c r="M22" s="1290">
        <v>4</v>
      </c>
      <c r="N22" s="1291">
        <v>5</v>
      </c>
      <c r="P22" s="1553" t="s">
        <v>319</v>
      </c>
      <c r="Q22" s="1554"/>
      <c r="R22" s="1292">
        <v>1</v>
      </c>
      <c r="S22" s="1293">
        <v>2</v>
      </c>
      <c r="T22" s="1293">
        <v>3</v>
      </c>
      <c r="U22" s="1293">
        <v>4</v>
      </c>
      <c r="V22" s="1294">
        <v>5</v>
      </c>
      <c r="AE22" s="197"/>
    </row>
    <row r="23" spans="2:31" ht="12.75" customHeight="1">
      <c r="B23" s="207" t="s">
        <v>128</v>
      </c>
      <c r="C23">
        <v>4</v>
      </c>
      <c r="D23" s="403" t="s">
        <v>322</v>
      </c>
      <c r="E23" s="398">
        <f>$O$4-(5*relent*C23)-(35*E5)</f>
        <v>15</v>
      </c>
      <c r="F23" s="398">
        <f>(($S$3+$S$4*C23+ap*0.03*C23)*$O$5+IF(AND(Hemorrhage=1,OR(Talents!O25="No",instatk&lt;&gt;"HEMO")),42*HDebuff,0))*$K$4*$P$5</f>
        <v>1190.4605772048644</v>
      </c>
      <c r="H23" s="1566" t="s">
        <v>331</v>
      </c>
      <c r="I23" s="1567"/>
      <c r="J23" s="1194"/>
      <c r="K23" s="1195"/>
      <c r="L23" s="1195"/>
      <c r="M23" s="1195"/>
      <c r="N23" s="1196"/>
      <c r="P23" s="1555" t="s">
        <v>331</v>
      </c>
      <c r="Q23" s="1556"/>
      <c r="R23" s="1232"/>
      <c r="S23" s="1233"/>
      <c r="T23" s="1233"/>
      <c r="U23" s="1233"/>
      <c r="V23" s="1234"/>
      <c r="AE23" s="197"/>
    </row>
    <row r="24" spans="2:31" ht="12.75" customHeight="1">
      <c r="B24" s="207" t="s">
        <v>128</v>
      </c>
      <c r="C24">
        <v>5</v>
      </c>
      <c r="D24" s="403" t="s">
        <v>322</v>
      </c>
      <c r="E24" s="398">
        <f>$O$4-(5*relent*C24)-(35*E6)</f>
        <v>10</v>
      </c>
      <c r="F24" s="398">
        <f>(($S$3+$S$4*C24+ap*0.03*C24)*$O$5+IF(AND(Hemorrhage=1,OR(Talents!O25="No",instatk&lt;&gt;"HEMO")),42*HDebuff,0))*$K$4*$P$5</f>
        <v>1459.2710844590233</v>
      </c>
      <c r="H24" s="1197" t="s">
        <v>923</v>
      </c>
      <c r="I24" s="1198" t="s">
        <v>2299</v>
      </c>
      <c r="J24" s="1199"/>
      <c r="K24" s="1106"/>
      <c r="L24" s="1106"/>
      <c r="M24" s="1106"/>
      <c r="N24" s="1200"/>
      <c r="P24" s="1235" t="s">
        <v>923</v>
      </c>
      <c r="Q24" s="1236" t="s">
        <v>2299</v>
      </c>
      <c r="R24" s="1237"/>
      <c r="S24" s="1238"/>
      <c r="T24" s="1238"/>
      <c r="U24" s="1238"/>
      <c r="V24" s="1239"/>
      <c r="AE24" s="197"/>
    </row>
    <row r="25" spans="2:31">
      <c r="B25" s="400"/>
      <c r="C25" s="401"/>
      <c r="D25" s="402"/>
      <c r="E25" s="401"/>
      <c r="F25" s="401"/>
      <c r="H25" s="1201">
        <v>0</v>
      </c>
      <c r="I25" s="1202">
        <v>0</v>
      </c>
      <c r="J25" s="1203">
        <f>(1-$Q$44)*(1-$Q$45)</f>
        <v>0.39999999999999991</v>
      </c>
      <c r="K25" s="1204">
        <f>(1-$Q$44)*(1-$Q$45)</f>
        <v>0.39999999999999991</v>
      </c>
      <c r="L25" s="1204">
        <f>(1-$Q$44)*(1-$Q$45)</f>
        <v>0.39999999999999991</v>
      </c>
      <c r="M25" s="1204">
        <f>(1-$Q$44)*(1-$Q$45)</f>
        <v>0.39999999999999991</v>
      </c>
      <c r="N25" s="1205">
        <f>(1-$Q$44)*(1-$Q$45)</f>
        <v>0.39999999999999991</v>
      </c>
      <c r="P25" s="1240">
        <v>0</v>
      </c>
      <c r="Q25" s="1241">
        <v>0</v>
      </c>
      <c r="R25" s="1242">
        <f>(1-$R$44)*(1-$R$45)</f>
        <v>0.39999999999999991</v>
      </c>
      <c r="S25" s="1243">
        <f>(1-$R$44)*(1-$R$45)</f>
        <v>0.39999999999999991</v>
      </c>
      <c r="T25" s="1243">
        <f>(1-$R$44)*(1-$R$45)</f>
        <v>0.39999999999999991</v>
      </c>
      <c r="U25" s="1243">
        <f>(1-$R$44)*(1-$R$45)</f>
        <v>0.39999999999999991</v>
      </c>
      <c r="V25" s="1244">
        <f>(1-$R$44)*(1-$R$45)</f>
        <v>0.39999999999999991</v>
      </c>
      <c r="AE25" s="197"/>
    </row>
    <row r="26" spans="2:31">
      <c r="B26" s="400"/>
      <c r="C26" s="401"/>
      <c r="D26" s="402"/>
      <c r="E26" s="401"/>
      <c r="F26" s="401"/>
      <c r="H26" s="1201">
        <v>1</v>
      </c>
      <c r="I26" s="1202">
        <v>0</v>
      </c>
      <c r="J26" s="1206">
        <f>(1-$Q$44)*$Q$45+$Q$44*(1-$Q$45)</f>
        <v>0.60000000000000009</v>
      </c>
      <c r="K26" s="1204">
        <f>(1-$Q$44)*$Q$45+$Q$44*(1-$Q$45)</f>
        <v>0.60000000000000009</v>
      </c>
      <c r="L26" s="1204">
        <f>(1-$Q$44)*$Q$45+$Q$44*(1-$Q$45)</f>
        <v>0.60000000000000009</v>
      </c>
      <c r="M26" s="1204">
        <f>(1-$Q$44)*$Q$45+$Q$44*(1-$Q$45)</f>
        <v>0.60000000000000009</v>
      </c>
      <c r="N26" s="1205">
        <f>(1-$Q$44)*$Q$45+$Q$44*(1-$Q$45)</f>
        <v>0.60000000000000009</v>
      </c>
      <c r="P26" s="1240">
        <v>1</v>
      </c>
      <c r="Q26" s="1241">
        <v>0</v>
      </c>
      <c r="R26" s="1245">
        <f>(1-$R$44)*$R$45+$R$44*(1-$R$45)</f>
        <v>0.60000000000000009</v>
      </c>
      <c r="S26" s="1243">
        <f>(1-$R$44)*$R$45+$R$44*(1-$R$45)</f>
        <v>0.60000000000000009</v>
      </c>
      <c r="T26" s="1243">
        <f>(1-$R$44)*$R$45+$R$44*(1-$R$45)</f>
        <v>0.60000000000000009</v>
      </c>
      <c r="U26" s="1243">
        <f>(1-$R$44)*$R$45+$R$44*(1-$R$45)</f>
        <v>0.60000000000000009</v>
      </c>
      <c r="V26" s="1244">
        <f>(1-$R$44)*$R$45+$R$44*(1-$R$45)</f>
        <v>0.60000000000000009</v>
      </c>
      <c r="AE26" s="197"/>
    </row>
    <row r="27" spans="2:31" ht="12.75" customHeight="1">
      <c r="B27" s="207" t="s">
        <v>1348</v>
      </c>
      <c r="C27">
        <v>1</v>
      </c>
      <c r="D27" s="25">
        <f>(6+2*C27)</f>
        <v>8</v>
      </c>
      <c r="E27" s="398">
        <f>$O$3-(5*relent*C27)-(25*D2)</f>
        <v>20</v>
      </c>
      <c r="F27" s="398">
        <f>(324+0.04*ap)*(1+0.1*serrb)*(1+mangle*0.3)</f>
        <v>450.62115753331858</v>
      </c>
      <c r="H27" s="1207">
        <v>2</v>
      </c>
      <c r="I27" s="1208">
        <v>0</v>
      </c>
      <c r="J27" s="1209">
        <f>$Q$44*$Q$45</f>
        <v>0</v>
      </c>
      <c r="K27" s="1210">
        <f>$Q$44*$Q$45</f>
        <v>0</v>
      </c>
      <c r="L27" s="1211">
        <f>$Q$44*$Q$45</f>
        <v>0</v>
      </c>
      <c r="M27" s="1211">
        <f>$Q$44*$Q$45</f>
        <v>0</v>
      </c>
      <c r="N27" s="1212">
        <f>$Q$44*$Q$45</f>
        <v>0</v>
      </c>
      <c r="P27" s="1246">
        <v>2</v>
      </c>
      <c r="Q27" s="1247">
        <v>0</v>
      </c>
      <c r="R27" s="1248">
        <f>$R$44*$R$45</f>
        <v>0</v>
      </c>
      <c r="S27" s="1249">
        <f>$R$44*$R$45</f>
        <v>0</v>
      </c>
      <c r="T27" s="1250">
        <f>$R$44*$R$45</f>
        <v>0</v>
      </c>
      <c r="U27" s="1250">
        <f>$R$44*$R$45</f>
        <v>0</v>
      </c>
      <c r="V27" s="1251">
        <f>$R$44*$R$45</f>
        <v>0</v>
      </c>
      <c r="AE27" s="197"/>
    </row>
    <row r="28" spans="2:31" ht="12.75" customHeight="1">
      <c r="B28" s="207" t="s">
        <v>1348</v>
      </c>
      <c r="C28">
        <v>2</v>
      </c>
      <c r="D28" s="25">
        <f>(6+2*C28)</f>
        <v>10</v>
      </c>
      <c r="E28" s="398">
        <f>$O$3-(5*relent*C28)-(25*D3)</f>
        <v>15</v>
      </c>
      <c r="F28" s="25">
        <f>(460+ap*0.1)*(1+0.1*serrb)*(1+mangle*0.3)</f>
        <v>776.55289383329648</v>
      </c>
      <c r="H28" s="1213">
        <v>1</v>
      </c>
      <c r="I28" s="1214">
        <v>1</v>
      </c>
      <c r="J28" s="1215">
        <f>J25*(1-$Q$46)</f>
        <v>0.39999999999999991</v>
      </c>
      <c r="K28" s="1216">
        <f>K25*(1-$Q$46)</f>
        <v>0.39999999999999991</v>
      </c>
      <c r="L28" s="1216">
        <f>L25*(1-$Q$46)</f>
        <v>0.39999999999999991</v>
      </c>
      <c r="M28" s="1216">
        <f>M25*(1-$Q$46)</f>
        <v>0.39999999999999991</v>
      </c>
      <c r="N28" s="1217">
        <f>N25*(1-$Q$46)</f>
        <v>0.39999999999999991</v>
      </c>
      <c r="P28" s="1252">
        <v>2</v>
      </c>
      <c r="Q28" s="1253">
        <v>1</v>
      </c>
      <c r="R28" s="1254">
        <f>R25*(1-$R$46)</f>
        <v>0.39999999999999991</v>
      </c>
      <c r="S28" s="1255">
        <f>S25*(1-$R$46)</f>
        <v>0.39999999999999991</v>
      </c>
      <c r="T28" s="1256">
        <f>T25*(1-$R$46)</f>
        <v>0.39999999999999991</v>
      </c>
      <c r="U28" s="1257">
        <f>U25*(1-$R$46)</f>
        <v>0.39999999999999991</v>
      </c>
      <c r="V28" s="1258">
        <f>V25*(1-$R$46)</f>
        <v>0.39999999999999991</v>
      </c>
      <c r="AE28" s="197"/>
    </row>
    <row r="29" spans="2:31">
      <c r="B29" s="207" t="s">
        <v>1348</v>
      </c>
      <c r="C29">
        <v>3</v>
      </c>
      <c r="D29" s="25">
        <f>(6+2*C29)</f>
        <v>12</v>
      </c>
      <c r="E29" s="398">
        <f>$O$3-(5*relent*C29)-(25*D4)</f>
        <v>10</v>
      </c>
      <c r="F29" s="25">
        <f>(618+ap*0.18)*(1+0.1*serrb)*(1+mangle*0.3)</f>
        <v>1187.7952088999336</v>
      </c>
      <c r="H29" s="1201">
        <v>2</v>
      </c>
      <c r="I29" s="1202">
        <v>1</v>
      </c>
      <c r="J29" s="1206">
        <f>J25*$Q$46</f>
        <v>0</v>
      </c>
      <c r="K29" s="1218">
        <f>K25*$Q$46+K26*(1-$Q$46)</f>
        <v>0.60000000000000009</v>
      </c>
      <c r="L29" s="1204">
        <f>L25*$Q$46+L26*(1-$Q$46)</f>
        <v>0.60000000000000009</v>
      </c>
      <c r="M29" s="1204">
        <f>M25*$Q$46+M26*(1-$Q$46)</f>
        <v>0.60000000000000009</v>
      </c>
      <c r="N29" s="1205">
        <f>N25*$Q$46+N26*(1-$Q$46)</f>
        <v>0.60000000000000009</v>
      </c>
      <c r="P29" s="1240">
        <v>3</v>
      </c>
      <c r="Q29" s="1241">
        <v>1</v>
      </c>
      <c r="R29" s="1245">
        <f>R25*$R$46</f>
        <v>0</v>
      </c>
      <c r="S29" s="1259">
        <f>R25*$R$46+S26*(1-$R$46)</f>
        <v>0.60000000000000009</v>
      </c>
      <c r="T29" s="1259">
        <f>S25*$R$46+T26*(1-$R$46)</f>
        <v>0.60000000000000009</v>
      </c>
      <c r="U29" s="1243">
        <f>T25*$R$46+U26*(1-$R$46)</f>
        <v>0.60000000000000009</v>
      </c>
      <c r="V29" s="1244">
        <f>U25*$R$46+V26*(1-$R$46)</f>
        <v>0.60000000000000009</v>
      </c>
      <c r="AE29" s="197"/>
    </row>
    <row r="30" spans="2:31">
      <c r="B30" s="207" t="s">
        <v>1348</v>
      </c>
      <c r="C30">
        <v>4</v>
      </c>
      <c r="D30" s="25">
        <f>(6+2*C30)</f>
        <v>14</v>
      </c>
      <c r="E30" s="398">
        <f>$O$3-(5*relent*C30)-(25*D5)</f>
        <v>5</v>
      </c>
      <c r="F30" s="25">
        <f>(798+ap*0.21)*(1+0.1*serrb)*(1+mangle*0.3)</f>
        <v>1462.7610770499225</v>
      </c>
      <c r="H30" s="1201">
        <v>3</v>
      </c>
      <c r="I30" s="1202">
        <v>1</v>
      </c>
      <c r="J30" s="1219">
        <v>0</v>
      </c>
      <c r="K30" s="1218">
        <f>K26*$Q$46</f>
        <v>0</v>
      </c>
      <c r="L30" s="1218">
        <f>L26*$Q$46+L27*(1-$Q$46)</f>
        <v>0</v>
      </c>
      <c r="M30" s="1204">
        <f>M26*$Q$46+M27*(1-$Q$46)</f>
        <v>0</v>
      </c>
      <c r="N30" s="1205">
        <f>N26*$Q$46+N27*(1-$Q$46)</f>
        <v>0</v>
      </c>
      <c r="P30" s="1240">
        <v>4</v>
      </c>
      <c r="Q30" s="1241">
        <v>1</v>
      </c>
      <c r="R30" s="1260">
        <v>0</v>
      </c>
      <c r="S30" s="1259">
        <f>S26*$R$46</f>
        <v>0</v>
      </c>
      <c r="T30" s="1259">
        <f>T26*$R$46+T27*(1-$R$46)</f>
        <v>0</v>
      </c>
      <c r="U30" s="1259">
        <f>U26*$R$46+U27*(1-$R$46)</f>
        <v>0</v>
      </c>
      <c r="V30" s="1244">
        <f>V26*$R$46+V27*(1-$R$46)</f>
        <v>0</v>
      </c>
      <c r="AE30" s="197"/>
    </row>
    <row r="31" spans="2:31">
      <c r="B31" s="207" t="s">
        <v>1348</v>
      </c>
      <c r="C31">
        <v>5</v>
      </c>
      <c r="D31" s="25">
        <f>(6+2*C31)</f>
        <v>16</v>
      </c>
      <c r="E31" s="398">
        <f>$O$3-(5*relent*C31)-(25*D6)</f>
        <v>0</v>
      </c>
      <c r="F31" s="25">
        <f>(1000+ap*0.24)*(1+0.1*serrb)*(1+mangle*0.3)</f>
        <v>1759.7269451999114</v>
      </c>
      <c r="H31" s="1207">
        <v>4</v>
      </c>
      <c r="I31" s="1208">
        <v>1</v>
      </c>
      <c r="J31" s="1220">
        <v>0</v>
      </c>
      <c r="K31" s="1221">
        <v>0</v>
      </c>
      <c r="L31" s="1210">
        <f>L27*$Q$46</f>
        <v>0</v>
      </c>
      <c r="M31" s="1210">
        <f>M27*$Q$46</f>
        <v>0</v>
      </c>
      <c r="N31" s="1212">
        <f>N27*$Q$46</f>
        <v>0</v>
      </c>
      <c r="P31" s="1246">
        <v>5</v>
      </c>
      <c r="Q31" s="1247">
        <v>1</v>
      </c>
      <c r="R31" s="1261">
        <v>0</v>
      </c>
      <c r="S31" s="1262">
        <v>0</v>
      </c>
      <c r="T31" s="1249">
        <f>T27*$R$46</f>
        <v>0</v>
      </c>
      <c r="U31" s="1249">
        <f>U27*$R$46</f>
        <v>0</v>
      </c>
      <c r="V31" s="1263">
        <f>V27*$R$46</f>
        <v>0</v>
      </c>
      <c r="AE31" s="197"/>
    </row>
    <row r="32" spans="2:31">
      <c r="B32" s="400"/>
      <c r="C32" s="401"/>
      <c r="D32" s="402"/>
      <c r="E32" s="401"/>
      <c r="F32" s="401"/>
      <c r="H32" s="1213">
        <v>2</v>
      </c>
      <c r="I32" s="1214">
        <v>2</v>
      </c>
      <c r="J32" s="1222">
        <v>0</v>
      </c>
      <c r="K32" s="1223">
        <f>K28*(1-$Q$46)</f>
        <v>0.39999999999999991</v>
      </c>
      <c r="L32" s="1216">
        <f>L28*(1-$Q$46)</f>
        <v>0.39999999999999991</v>
      </c>
      <c r="M32" s="1216">
        <f>M28*(1-$Q$46)</f>
        <v>0.39999999999999991</v>
      </c>
      <c r="N32" s="1217">
        <f>N28*(1-$Q$46)</f>
        <v>0.39999999999999991</v>
      </c>
      <c r="P32" s="1252">
        <v>4</v>
      </c>
      <c r="Q32" s="1253">
        <v>2</v>
      </c>
      <c r="R32" s="1264">
        <v>0</v>
      </c>
      <c r="S32" s="1265">
        <v>0</v>
      </c>
      <c r="T32" s="1255">
        <f>T28*(1-$R$46)</f>
        <v>0.39999999999999991</v>
      </c>
      <c r="U32" s="1255">
        <f>U28*(1-$R$46)</f>
        <v>0.39999999999999991</v>
      </c>
      <c r="V32" s="1258">
        <f>V28*(1-$R$46)</f>
        <v>0.39999999999999991</v>
      </c>
      <c r="AE32" s="404"/>
    </row>
    <row r="33" spans="2:31">
      <c r="B33" s="400"/>
      <c r="C33" s="401"/>
      <c r="D33" s="402"/>
      <c r="E33" s="401"/>
      <c r="F33" s="401"/>
      <c r="H33" s="1201">
        <v>3</v>
      </c>
      <c r="I33" s="1202">
        <v>2</v>
      </c>
      <c r="J33" s="1219">
        <v>0</v>
      </c>
      <c r="K33" s="1218">
        <f>K28*$Q$46</f>
        <v>0</v>
      </c>
      <c r="L33" s="1218">
        <f>L28*$Q$46+L29*(1-$Q$46)</f>
        <v>0.60000000000000009</v>
      </c>
      <c r="M33" s="1204">
        <f>M28*$Q$46+M29*(1-$Q$46)</f>
        <v>0.60000000000000009</v>
      </c>
      <c r="N33" s="1205">
        <f>N28*$Q$46+N29*(1-$Q$46)</f>
        <v>0.60000000000000009</v>
      </c>
      <c r="P33" s="1246">
        <v>5</v>
      </c>
      <c r="Q33" s="1247">
        <v>2</v>
      </c>
      <c r="R33" s="1261">
        <v>0</v>
      </c>
      <c r="S33" s="1262">
        <v>0</v>
      </c>
      <c r="T33" s="1249">
        <f>T28*$R$46</f>
        <v>0</v>
      </c>
      <c r="U33" s="1249">
        <f>U28*$R$46+U29</f>
        <v>0.60000000000000009</v>
      </c>
      <c r="V33" s="1263">
        <f>V28*$R$46+V29+V30</f>
        <v>0.60000000000000009</v>
      </c>
      <c r="AE33" s="397"/>
    </row>
    <row r="34" spans="2:31">
      <c r="B34" s="207" t="s">
        <v>127</v>
      </c>
      <c r="C34">
        <v>1</v>
      </c>
      <c r="D34" s="403" t="s">
        <v>322</v>
      </c>
      <c r="E34" s="398">
        <f>$O$4-(5*relent*C34)-(35*E2)</f>
        <v>30</v>
      </c>
      <c r="F34" s="398">
        <f>($S$2*C34+ap*0.03*C34)*$P$5*vp*(1+(0.01*miseryimp)*misery)*(1+(thunderfury*thunderfurydps))</f>
        <v>394.85850700419155</v>
      </c>
      <c r="H34" s="1201">
        <v>4</v>
      </c>
      <c r="I34" s="1202">
        <v>2</v>
      </c>
      <c r="J34" s="1219">
        <v>0</v>
      </c>
      <c r="K34" s="1224">
        <v>0</v>
      </c>
      <c r="L34" s="1218">
        <f>L29*$Q$46</f>
        <v>0</v>
      </c>
      <c r="M34" s="1218">
        <f>M29*$Q$46+M30*(1-$Q$46)</f>
        <v>0</v>
      </c>
      <c r="N34" s="1205">
        <f>N29*$Q$46+N30*(1-$Q$46)</f>
        <v>0</v>
      </c>
      <c r="P34" s="1266">
        <v>5</v>
      </c>
      <c r="Q34" s="1267">
        <v>3</v>
      </c>
      <c r="R34" s="1268">
        <v>0</v>
      </c>
      <c r="S34" s="1269">
        <v>0</v>
      </c>
      <c r="T34" s="1269">
        <v>0</v>
      </c>
      <c r="U34" s="1269">
        <v>0</v>
      </c>
      <c r="V34" s="1270">
        <f>V32</f>
        <v>0.39999999999999991</v>
      </c>
      <c r="AE34" s="405"/>
    </row>
    <row r="35" spans="2:31" ht="13.5" thickBot="1">
      <c r="B35" s="207" t="s">
        <v>127</v>
      </c>
      <c r="C35">
        <v>2</v>
      </c>
      <c r="D35" s="403" t="s">
        <v>322</v>
      </c>
      <c r="E35" s="398">
        <f>$O$4-(5*relent*C35)-(35*E3)</f>
        <v>25</v>
      </c>
      <c r="F35" s="398">
        <f>($S$2*C35+ap*0.03*C35)*$P$5*vp*(1+(0.01*miseryimp)*misery)*(1+(thunderfury*thunderfurydps))</f>
        <v>789.7170140083831</v>
      </c>
      <c r="H35" s="1207">
        <v>5</v>
      </c>
      <c r="I35" s="1208">
        <v>2</v>
      </c>
      <c r="J35" s="1220">
        <v>0</v>
      </c>
      <c r="K35" s="1221">
        <v>0</v>
      </c>
      <c r="L35" s="1221">
        <v>0</v>
      </c>
      <c r="M35" s="1210">
        <f>M30*$Q$46</f>
        <v>0</v>
      </c>
      <c r="N35" s="1225">
        <f>N30*$Q$46+N31</f>
        <v>0</v>
      </c>
      <c r="P35" s="406"/>
      <c r="Q35" s="406"/>
      <c r="R35" s="407">
        <f>SUM(R26:R29)</f>
        <v>1</v>
      </c>
      <c r="S35" s="407">
        <f>SUM(S27:S30)</f>
        <v>1</v>
      </c>
      <c r="T35" s="407">
        <f>SUM(T29:T33)</f>
        <v>1</v>
      </c>
      <c r="U35" s="407">
        <f>SUM(U30:U33)</f>
        <v>1</v>
      </c>
      <c r="V35" s="407">
        <f>SUM(V31)+SUM(V33:V34)</f>
        <v>1</v>
      </c>
    </row>
    <row r="36" spans="2:31">
      <c r="B36" s="207" t="s">
        <v>127</v>
      </c>
      <c r="C36">
        <v>3</v>
      </c>
      <c r="D36" s="403" t="s">
        <v>322</v>
      </c>
      <c r="E36" s="398">
        <f>$O$4-(5*relent*C36)-(35*E4)</f>
        <v>20</v>
      </c>
      <c r="F36" s="398">
        <f>($S$2*C36+ap*0.03*C36)*$P$5*vp*(1+(0.01*miseryimp)*misery)*(1+(thunderfury*thunderfurydps))</f>
        <v>1184.5755210125749</v>
      </c>
      <c r="H36" s="1201">
        <v>3</v>
      </c>
      <c r="I36" s="1202">
        <v>3</v>
      </c>
      <c r="J36" s="1219">
        <v>0</v>
      </c>
      <c r="K36" s="1224">
        <v>0</v>
      </c>
      <c r="L36" s="1218">
        <f>L32*(1-$Q$46)</f>
        <v>0.39999999999999991</v>
      </c>
      <c r="M36" s="1204">
        <f>M32*(1-$Q$46)</f>
        <v>0.39999999999999991</v>
      </c>
      <c r="N36" s="1205">
        <f>N32*(1-$Q$46)</f>
        <v>0.39999999999999991</v>
      </c>
      <c r="P36" s="1557" t="s">
        <v>323</v>
      </c>
      <c r="Q36" s="1558"/>
      <c r="R36" s="408">
        <f>SUMPRODUCT(R26:R29,$Q26:$Q29)</f>
        <v>0.39999999999999991</v>
      </c>
      <c r="S36" s="409">
        <f>SUMPRODUCT(S27:S30,$Q27:$Q30)</f>
        <v>1</v>
      </c>
      <c r="T36" s="409">
        <f>SUMPRODUCT(T29:T33,$Q29:$Q33)</f>
        <v>1.4</v>
      </c>
      <c r="U36" s="409">
        <f>SUMPRODUCT(U30:U33,$Q30:$Q33)</f>
        <v>2</v>
      </c>
      <c r="V36" s="410">
        <f>SUMPRODUCT(V31,$Q31)+SUMPRODUCT(V33:V34,$Q33:$Q34)</f>
        <v>2.4</v>
      </c>
    </row>
    <row r="37" spans="2:31">
      <c r="B37" s="207" t="s">
        <v>127</v>
      </c>
      <c r="C37">
        <v>4</v>
      </c>
      <c r="D37" s="403" t="s">
        <v>322</v>
      </c>
      <c r="E37" s="398">
        <f>$O$4-(5*relent*C37)-(35*E5)</f>
        <v>15</v>
      </c>
      <c r="F37" s="398">
        <f>($S$2*C37+ap*0.03*C37)*$P$5*vp*(1+(0.01*miseryimp)*misery)*(1+(thunderfury*thunderfurydps))</f>
        <v>1579.4340280167662</v>
      </c>
      <c r="H37" s="1201">
        <v>4</v>
      </c>
      <c r="I37" s="1202">
        <v>3</v>
      </c>
      <c r="J37" s="1219">
        <v>0</v>
      </c>
      <c r="K37" s="1224">
        <v>0</v>
      </c>
      <c r="L37" s="1218">
        <f>L32*$Q$46</f>
        <v>0</v>
      </c>
      <c r="M37" s="1218">
        <f>M32*$Q$46+M33*(1-$Q$46)</f>
        <v>0.60000000000000009</v>
      </c>
      <c r="N37" s="1205">
        <f>N32*$Q$46+N33*(1-$Q$46)</f>
        <v>0.60000000000000009</v>
      </c>
      <c r="P37" s="1559" t="s">
        <v>325</v>
      </c>
      <c r="Q37" s="1305" t="s">
        <v>326</v>
      </c>
      <c r="R37" s="1242">
        <f>R26</f>
        <v>0.60000000000000009</v>
      </c>
      <c r="S37" s="1243">
        <f>S27+S28</f>
        <v>0.39999999999999991</v>
      </c>
      <c r="T37" s="1243">
        <f>T29</f>
        <v>0.60000000000000009</v>
      </c>
      <c r="U37" s="1243">
        <f>U30+U32</f>
        <v>0.39999999999999991</v>
      </c>
      <c r="V37" s="1271">
        <f>V31+V33+V34</f>
        <v>1</v>
      </c>
    </row>
    <row r="38" spans="2:31">
      <c r="B38" s="207" t="s">
        <v>127</v>
      </c>
      <c r="C38">
        <v>5</v>
      </c>
      <c r="D38" s="403" t="s">
        <v>322</v>
      </c>
      <c r="E38" s="398">
        <f>$O$4-(5*relent*C38)-(35*E6)</f>
        <v>10</v>
      </c>
      <c r="F38" s="398">
        <f>($S$2*C38+ap*0.03*C38)*$P$5*vp*(1+(0.01*miseryimp)*misery)*(1+(thunderfury*thunderfurydps))</f>
        <v>1974.2925350209578</v>
      </c>
      <c r="H38" s="1207">
        <v>5</v>
      </c>
      <c r="I38" s="1208">
        <v>3</v>
      </c>
      <c r="J38" s="1220">
        <v>0</v>
      </c>
      <c r="K38" s="1221">
        <v>0</v>
      </c>
      <c r="L38" s="1221">
        <v>0</v>
      </c>
      <c r="M38" s="1210">
        <f>M33*$Q$46</f>
        <v>0</v>
      </c>
      <c r="N38" s="1225">
        <f>N33*$Q$46+N34</f>
        <v>0</v>
      </c>
      <c r="P38" s="1560"/>
      <c r="Q38" s="1305" t="s">
        <v>327</v>
      </c>
      <c r="R38" s="1242">
        <f>R27+R28</f>
        <v>0.39999999999999991</v>
      </c>
      <c r="S38" s="1243">
        <f>S29</f>
        <v>0.60000000000000009</v>
      </c>
      <c r="T38" s="1243">
        <f>T30+T32</f>
        <v>0.39999999999999991</v>
      </c>
      <c r="U38" s="1243">
        <f>U31+U33</f>
        <v>0.60000000000000009</v>
      </c>
      <c r="V38" s="1272">
        <v>0</v>
      </c>
    </row>
    <row r="39" spans="2:31" ht="13.5" thickBot="1">
      <c r="B39" s="412" t="s">
        <v>3147</v>
      </c>
      <c r="C39" s="401"/>
      <c r="D39" s="401"/>
      <c r="E39" s="401"/>
      <c r="F39" s="401"/>
      <c r="H39" s="1201">
        <v>4</v>
      </c>
      <c r="I39" s="1202">
        <v>4</v>
      </c>
      <c r="J39" s="1219">
        <v>0</v>
      </c>
      <c r="K39" s="1224">
        <v>0</v>
      </c>
      <c r="L39" s="1224">
        <v>0</v>
      </c>
      <c r="M39" s="1218">
        <f>M36*(1-$Q$46)</f>
        <v>0.39999999999999991</v>
      </c>
      <c r="N39" s="1205">
        <f>N36*(1-$Q$46)</f>
        <v>0.39999999999999991</v>
      </c>
      <c r="P39" s="1561"/>
      <c r="Q39" s="1306" t="s">
        <v>328</v>
      </c>
      <c r="R39" s="1276">
        <f>R29</f>
        <v>0</v>
      </c>
      <c r="S39" s="1277">
        <f>S30</f>
        <v>0</v>
      </c>
      <c r="T39" s="1277">
        <f>T31+T33</f>
        <v>0</v>
      </c>
      <c r="U39" s="1278">
        <v>0</v>
      </c>
      <c r="V39" s="1279">
        <v>0</v>
      </c>
    </row>
    <row r="40" spans="2:31">
      <c r="B40" s="400"/>
      <c r="C40" s="401"/>
      <c r="D40" s="401"/>
      <c r="E40" s="401"/>
      <c r="F40" s="401"/>
      <c r="H40" s="1201">
        <v>5</v>
      </c>
      <c r="I40" s="1202">
        <v>4</v>
      </c>
      <c r="J40" s="1219">
        <v>0</v>
      </c>
      <c r="K40" s="1224">
        <v>0</v>
      </c>
      <c r="L40" s="1224">
        <v>0</v>
      </c>
      <c r="M40" s="1218">
        <f>M36*$Q$46</f>
        <v>0</v>
      </c>
      <c r="N40" s="1226">
        <f>N36*$Q$46+N37</f>
        <v>0.60000000000000009</v>
      </c>
      <c r="P40" s="411"/>
      <c r="Q40" s="411"/>
      <c r="R40" s="407">
        <f>SUM(R37:R39)</f>
        <v>1</v>
      </c>
      <c r="S40" s="407">
        <f>SUM(S37:S39)</f>
        <v>1</v>
      </c>
      <c r="T40" s="407">
        <f>SUM(T37:T39)</f>
        <v>1</v>
      </c>
      <c r="U40" s="407">
        <f>SUM(U37:U39)</f>
        <v>1</v>
      </c>
      <c r="V40" s="407">
        <f>SUM(V37:V39)</f>
        <v>1</v>
      </c>
    </row>
    <row r="41" spans="2:31">
      <c r="B41" s="415" t="s">
        <v>332</v>
      </c>
      <c r="C41" s="415">
        <v>1</v>
      </c>
      <c r="D41" s="416">
        <v>30</v>
      </c>
      <c r="E41" s="417">
        <f>$O$3-(5*relent*C41)-(25*D2)</f>
        <v>20</v>
      </c>
      <c r="F41" s="417"/>
      <c r="H41" s="1227">
        <v>5</v>
      </c>
      <c r="I41" s="1228">
        <v>5</v>
      </c>
      <c r="J41" s="1229">
        <v>0</v>
      </c>
      <c r="K41" s="1230">
        <v>0</v>
      </c>
      <c r="L41" s="1230">
        <v>0</v>
      </c>
      <c r="M41" s="1230">
        <v>0</v>
      </c>
      <c r="N41" s="1231">
        <f>N39</f>
        <v>0.39999999999999991</v>
      </c>
      <c r="P41" s="411"/>
      <c r="Q41" s="413"/>
      <c r="R41" s="414"/>
      <c r="S41" s="197"/>
      <c r="T41" s="197"/>
      <c r="U41" s="197"/>
      <c r="V41" s="197"/>
    </row>
    <row r="42" spans="2:31" ht="13.5" thickBot="1">
      <c r="B42" s="415" t="s">
        <v>332</v>
      </c>
      <c r="C42" s="415">
        <v>2</v>
      </c>
      <c r="D42" s="416">
        <v>30</v>
      </c>
      <c r="E42" s="417">
        <f>$O$3-(5*relent*C42)-(25*D3)</f>
        <v>15</v>
      </c>
      <c r="F42" s="417"/>
      <c r="H42" s="28"/>
      <c r="I42" s="28"/>
      <c r="J42" s="407">
        <f>SUM(J26:J29)</f>
        <v>1</v>
      </c>
      <c r="K42" s="407">
        <f>SUM(K27)+SUM(K29:K30)+SUM(K32:K33)</f>
        <v>1</v>
      </c>
      <c r="L42" s="407">
        <f>SUM(L30:L31)+SUM(L33:L34)+SUM(L36:L37)</f>
        <v>1</v>
      </c>
      <c r="M42" s="407">
        <f>SUM(M31)+SUM(M34:M35)++SUM(M37:M40)</f>
        <v>1</v>
      </c>
      <c r="N42" s="407">
        <f>SUM(N35)+SUM(N38)++SUM(N40:N41)</f>
        <v>1</v>
      </c>
      <c r="Q42" s="28"/>
      <c r="R42" s="28"/>
      <c r="S42" s="28"/>
      <c r="T42" s="28"/>
      <c r="U42" s="28"/>
      <c r="V42" s="28"/>
    </row>
    <row r="43" spans="2:31">
      <c r="B43" s="415" t="s">
        <v>332</v>
      </c>
      <c r="C43" s="415">
        <v>3</v>
      </c>
      <c r="D43" s="416">
        <v>30</v>
      </c>
      <c r="E43" s="417">
        <f>$O$3-(5*relent*C43)-(25*D4)</f>
        <v>10</v>
      </c>
      <c r="F43" s="417"/>
      <c r="H43" s="1571" t="s">
        <v>323</v>
      </c>
      <c r="I43" s="1572"/>
      <c r="J43" s="408">
        <f>SUMPRODUCT(J26:J29,$I26:$I29)</f>
        <v>0.39999999999999991</v>
      </c>
      <c r="K43" s="409">
        <f>SUMPRODUCT(K27,$I27)+SUMPRODUCT(K29:K30,$I29:$I30)+SUMPRODUCT(K32:K33,$I32:$I33)</f>
        <v>1.4</v>
      </c>
      <c r="L43" s="409">
        <f>SUMPRODUCT(L30:L31,$I30:$I31)+SUMPRODUCT(L33:L34,$I33:$I34)+SUMPRODUCT(L36:L37,$I36:$I37)</f>
        <v>2.4</v>
      </c>
      <c r="M43" s="409">
        <f>SUMPRODUCT(M31,$I31)+SUMPRODUCT(M34:M35,$I34:$I35)+SUMPRODUCT(M37:M40,$I37:$I40)</f>
        <v>3.4</v>
      </c>
      <c r="N43" s="410">
        <f>SUMPRODUCT(N35,$I35)+SUMPRODUCT(N38,$I38)+SUMPRODUCT(N40:N41,$I40:$I41)</f>
        <v>4.4000000000000004</v>
      </c>
      <c r="Q43" s="418" t="s">
        <v>333</v>
      </c>
      <c r="R43" s="418" t="s">
        <v>334</v>
      </c>
    </row>
    <row r="44" spans="2:31" ht="12.75" customHeight="1">
      <c r="B44" s="415" t="s">
        <v>332</v>
      </c>
      <c r="C44" s="415">
        <v>4</v>
      </c>
      <c r="D44" s="416">
        <v>30</v>
      </c>
      <c r="E44" s="417">
        <f>$O$3-(5*relent*C44)-(25*D5)</f>
        <v>5</v>
      </c>
      <c r="F44" s="417"/>
      <c r="H44" s="1560" t="s">
        <v>325</v>
      </c>
      <c r="I44" s="1305" t="s">
        <v>326</v>
      </c>
      <c r="J44" s="1242">
        <f>J26+J28</f>
        <v>1</v>
      </c>
      <c r="K44" s="1243">
        <f>K27+K29+K32</f>
        <v>1</v>
      </c>
      <c r="L44" s="1243">
        <f>L30+L33+L36</f>
        <v>1</v>
      </c>
      <c r="M44" s="1243">
        <f>M31+M34+M37+M39</f>
        <v>1</v>
      </c>
      <c r="N44" s="1271">
        <f>N35+N38+N40+N41</f>
        <v>1</v>
      </c>
      <c r="P44" s="51" t="s">
        <v>335</v>
      </c>
      <c r="Q44" s="94">
        <f>0.2*ruth</f>
        <v>0.60000000000000009</v>
      </c>
      <c r="R44" s="94">
        <f>0.2*ruth</f>
        <v>0.60000000000000009</v>
      </c>
    </row>
    <row r="45" spans="2:31">
      <c r="B45" s="207" t="s">
        <v>332</v>
      </c>
      <c r="C45">
        <v>5</v>
      </c>
      <c r="D45" s="403">
        <v>30</v>
      </c>
      <c r="E45" s="398">
        <f>$O$3-(5*relent*C45)-(25*D6)</f>
        <v>0</v>
      </c>
      <c r="F45" s="398"/>
      <c r="H45" s="1560"/>
      <c r="I45" s="1305" t="s">
        <v>327</v>
      </c>
      <c r="J45" s="1242">
        <f>J27+J29</f>
        <v>0</v>
      </c>
      <c r="K45" s="1243">
        <f>K30+K33</f>
        <v>0</v>
      </c>
      <c r="L45" s="1243">
        <f>L31+L34+L37</f>
        <v>0</v>
      </c>
      <c r="M45" s="1243">
        <f>M35+M38+M40</f>
        <v>0</v>
      </c>
      <c r="N45" s="1272">
        <v>0</v>
      </c>
      <c r="P45" s="17" t="s">
        <v>336</v>
      </c>
      <c r="Q45" s="94">
        <f>0.15*nb4p</f>
        <v>0</v>
      </c>
      <c r="R45" s="94">
        <f>0.15*nb4p</f>
        <v>0</v>
      </c>
    </row>
    <row r="46" spans="2:31" ht="13.5" thickBot="1">
      <c r="B46" s="412"/>
      <c r="C46" s="401"/>
      <c r="D46" s="401"/>
      <c r="E46" s="401"/>
      <c r="F46" s="401"/>
      <c r="H46" s="1561"/>
      <c r="I46" s="1306" t="s">
        <v>328</v>
      </c>
      <c r="J46" s="1273">
        <v>0</v>
      </c>
      <c r="K46" s="1274">
        <v>0</v>
      </c>
      <c r="L46" s="1274">
        <v>0</v>
      </c>
      <c r="M46" s="1274">
        <v>0</v>
      </c>
      <c r="N46" s="1275">
        <v>0</v>
      </c>
      <c r="P46" s="17" t="s">
        <v>337</v>
      </c>
      <c r="Q46" s="94">
        <f>instcrit*Sealfate</f>
        <v>0</v>
      </c>
      <c r="R46" s="94">
        <f>(2*instcrit-(instcrit*instcrit))*Sealfate</f>
        <v>0</v>
      </c>
    </row>
    <row r="47" spans="2:31">
      <c r="B47" s="400"/>
      <c r="C47" s="401"/>
      <c r="D47" s="401"/>
      <c r="E47" s="401"/>
      <c r="F47" s="401"/>
      <c r="H47" s="419"/>
      <c r="I47" s="314"/>
      <c r="J47" s="407">
        <f>SUM(J44:J46)</f>
        <v>1</v>
      </c>
      <c r="K47" s="407">
        <f>SUM(K44:K46)</f>
        <v>1</v>
      </c>
      <c r="L47" s="407">
        <f>SUM(L44:L46)</f>
        <v>1</v>
      </c>
      <c r="M47" s="407">
        <f>SUM(M44:M46)</f>
        <v>1</v>
      </c>
      <c r="N47" s="407">
        <f>SUM(N44:N46)</f>
        <v>1</v>
      </c>
    </row>
    <row r="48" spans="2:31">
      <c r="R48" s="905" t="s">
        <v>3142</v>
      </c>
      <c r="S48" s="905" t="s">
        <v>3143</v>
      </c>
      <c r="T48" s="905" t="s">
        <v>3144</v>
      </c>
    </row>
    <row r="49" spans="2:43">
      <c r="R49" s="905">
        <f>IF(time=0,0,VLOOKUP(0,CHOOSE({1,2},'Cooldowns Calc'!AH$3:AH$602,'Cooldowns Calc'!$A$3:$A$602),2,FALSE))</f>
        <v>1</v>
      </c>
      <c r="S49" s="905">
        <f>IF(time=0,0,VLOOKUP(0,CHOOSE({1,2},'Cooldowns Calc'!AI$3:AI$602,'Cooldowns Calc'!$A$3:$A$602),2,FALSE))</f>
        <v>6</v>
      </c>
      <c r="T49" s="905">
        <f>IF(time=0,0,VLOOKUP(0,CHOOSE({1,2},'Cooldowns Calc'!AJ$3:AJ$602,'Cooldowns Calc'!$A$3:$A$602),2,FALSE))</f>
        <v>0</v>
      </c>
    </row>
    <row r="50" spans="2:43">
      <c r="R50" s="905"/>
      <c r="S50" s="905"/>
      <c r="T50" s="905"/>
    </row>
    <row r="51" spans="2:43">
      <c r="I51" t="str">
        <f>cycle</f>
        <v>Cycle: 1s/5r   SnD Slack: 1.24</v>
      </c>
      <c r="L51" s="906" t="s">
        <v>1137</v>
      </c>
      <c r="M51" s="1576" t="s">
        <v>3106</v>
      </c>
      <c r="N51" s="1576"/>
    </row>
    <row r="52" spans="2:43" ht="30">
      <c r="B52" s="1368" t="s">
        <v>338</v>
      </c>
      <c r="C52" s="1368"/>
      <c r="D52" s="1368"/>
      <c r="E52" s="1368"/>
      <c r="F52" s="1368"/>
      <c r="G52" s="1368"/>
      <c r="H52" s="1368"/>
      <c r="I52" s="1369" t="s">
        <v>1538</v>
      </c>
      <c r="J52" s="1370">
        <f>'Damage Calc'!$J$16</f>
        <v>1555.182530256119</v>
      </c>
      <c r="K52" s="1369"/>
      <c r="L52" s="1371">
        <f>'Gear &amp; Buffs'!$C$7</f>
        <v>1555.182530256119</v>
      </c>
      <c r="M52" s="1575" t="str">
        <f>ROUNDUP(J52-L52,2)&amp;" ("&amp;ROUNDUP((J52-L52)/J52,2)&amp;"%)"</f>
        <v>0 (0%)</v>
      </c>
      <c r="N52" s="1575"/>
    </row>
    <row r="53" spans="2:43">
      <c r="B53" s="1568" t="s">
        <v>1025</v>
      </c>
      <c r="C53" s="1569" t="s">
        <v>339</v>
      </c>
      <c r="D53" s="1569"/>
      <c r="E53" s="1569"/>
      <c r="F53" s="1569"/>
      <c r="G53" s="1569"/>
      <c r="H53" s="1569"/>
      <c r="I53" s="421" t="s">
        <v>340</v>
      </c>
      <c r="J53" s="1569" t="s">
        <v>341</v>
      </c>
      <c r="K53" s="1569"/>
      <c r="L53" s="1569"/>
      <c r="M53" s="422" t="s">
        <v>923</v>
      </c>
      <c r="N53" s="1569" t="s">
        <v>342</v>
      </c>
      <c r="O53" s="1569"/>
      <c r="P53" s="1569"/>
      <c r="Q53" s="1569"/>
      <c r="R53" s="1569" t="s">
        <v>3028</v>
      </c>
      <c r="S53" s="1569"/>
      <c r="T53" s="1569"/>
      <c r="U53" s="1569" t="s">
        <v>343</v>
      </c>
      <c r="V53" s="1569"/>
      <c r="W53" s="1569"/>
      <c r="X53" s="420" t="s">
        <v>321</v>
      </c>
      <c r="Y53" s="1569" t="s">
        <v>318</v>
      </c>
      <c r="Z53" s="1569"/>
      <c r="AA53" s="1569"/>
      <c r="AB53" s="1569"/>
      <c r="AC53" s="1569"/>
      <c r="AD53" s="1569"/>
      <c r="AE53" s="1569"/>
      <c r="AF53" s="1569"/>
      <c r="AG53" s="1574" t="s">
        <v>1538</v>
      </c>
      <c r="AH53" s="1570" t="s">
        <v>344</v>
      </c>
      <c r="AI53" s="1570"/>
      <c r="AJ53" s="1570"/>
      <c r="AK53" s="1573" t="s">
        <v>345</v>
      </c>
      <c r="AP53">
        <v>1</v>
      </c>
      <c r="AQ53" s="906" t="s">
        <v>3034</v>
      </c>
    </row>
    <row r="54" spans="2:43">
      <c r="B54" s="1568"/>
      <c r="C54" s="423" t="s">
        <v>126</v>
      </c>
      <c r="D54" s="423" t="s">
        <v>346</v>
      </c>
      <c r="E54" s="423" t="s">
        <v>347</v>
      </c>
      <c r="F54" s="423" t="s">
        <v>348</v>
      </c>
      <c r="G54" s="1376" t="s">
        <v>332</v>
      </c>
      <c r="H54" s="425" t="s">
        <v>1895</v>
      </c>
      <c r="I54" s="426" t="s">
        <v>1895</v>
      </c>
      <c r="J54" s="423" t="s">
        <v>2299</v>
      </c>
      <c r="K54" s="423" t="s">
        <v>1013</v>
      </c>
      <c r="L54" s="425" t="s">
        <v>1895</v>
      </c>
      <c r="M54" s="427" t="s">
        <v>1895</v>
      </c>
      <c r="N54" s="423" t="s">
        <v>126</v>
      </c>
      <c r="O54" s="423" t="s">
        <v>1189</v>
      </c>
      <c r="P54" s="1376" t="s">
        <v>332</v>
      </c>
      <c r="Q54" s="428" t="s">
        <v>1025</v>
      </c>
      <c r="R54" s="429" t="s">
        <v>126</v>
      </c>
      <c r="S54" s="429" t="s">
        <v>1189</v>
      </c>
      <c r="T54" s="1376" t="s">
        <v>332</v>
      </c>
      <c r="U54" s="429" t="s">
        <v>126</v>
      </c>
      <c r="V54" s="429" t="s">
        <v>1189</v>
      </c>
      <c r="W54" s="1376" t="s">
        <v>332</v>
      </c>
      <c r="X54" s="425"/>
      <c r="Y54" s="423" t="s">
        <v>2299</v>
      </c>
      <c r="Z54" s="423" t="s">
        <v>126</v>
      </c>
      <c r="AA54" s="423" t="s">
        <v>346</v>
      </c>
      <c r="AB54" s="423" t="s">
        <v>347</v>
      </c>
      <c r="AC54" s="423" t="s">
        <v>348</v>
      </c>
      <c r="AD54" s="424" t="s">
        <v>332</v>
      </c>
      <c r="AE54" s="423" t="s">
        <v>2058</v>
      </c>
      <c r="AF54" s="425" t="s">
        <v>1895</v>
      </c>
      <c r="AG54" s="1574"/>
      <c r="AH54" s="423" t="s">
        <v>126</v>
      </c>
      <c r="AI54" s="423" t="s">
        <v>346</v>
      </c>
      <c r="AJ54" s="1376" t="s">
        <v>332</v>
      </c>
      <c r="AK54" s="1573"/>
    </row>
    <row r="55" spans="2:43" ht="12.75" customHeight="1">
      <c r="B55" s="430" t="s">
        <v>349</v>
      </c>
      <c r="C55" s="431"/>
      <c r="D55" s="432"/>
      <c r="E55" s="432"/>
      <c r="F55" s="432"/>
      <c r="G55" s="432"/>
      <c r="H55" s="433"/>
      <c r="I55" s="434"/>
      <c r="J55" s="434"/>
      <c r="K55" s="434"/>
      <c r="L55" s="435"/>
      <c r="M55" s="436"/>
      <c r="N55" s="437"/>
      <c r="O55" s="437"/>
      <c r="P55" s="437"/>
      <c r="Q55" s="438"/>
      <c r="R55" s="439"/>
      <c r="S55" s="439"/>
      <c r="T55" s="439"/>
      <c r="U55" s="439"/>
      <c r="V55" s="439"/>
      <c r="W55" s="439"/>
      <c r="X55" s="440"/>
      <c r="Y55" s="434"/>
      <c r="Z55" s="434"/>
      <c r="AA55" s="434"/>
      <c r="AB55" s="434"/>
      <c r="AC55" s="434"/>
      <c r="AD55" s="434"/>
      <c r="AE55" s="434"/>
      <c r="AF55" s="435"/>
      <c r="AG55" s="441"/>
      <c r="AH55" s="442"/>
      <c r="AI55" s="437"/>
      <c r="AJ55" s="443"/>
      <c r="AK55" s="444"/>
      <c r="AL55">
        <v>0</v>
      </c>
    </row>
    <row r="56" spans="2:43">
      <c r="B56" t="s">
        <v>350</v>
      </c>
      <c r="C56" s="445">
        <v>0</v>
      </c>
      <c r="D56" s="64">
        <v>1</v>
      </c>
      <c r="E56" s="64">
        <v>0</v>
      </c>
      <c r="F56" s="197">
        <v>0</v>
      </c>
      <c r="G56" s="197">
        <v>0</v>
      </c>
      <c r="H56" s="446">
        <f t="shared" ref="H56:H81" si="1">SUM(C56:G56)</f>
        <v>1</v>
      </c>
      <c r="I56" s="447">
        <f>J$15</f>
        <v>0.39999999999999991</v>
      </c>
      <c r="J56" s="447">
        <f t="shared" ref="J56:J87" si="2">I56*$O$2</f>
        <v>16.065306122448977</v>
      </c>
      <c r="K56" s="94">
        <f>SUMPRODUCT($E$27:$E$29,$J$16:$J$18)</f>
        <v>20</v>
      </c>
      <c r="L56" s="448">
        <f t="shared" ref="L56:L81" si="3">J56+K56</f>
        <v>36.065306122448973</v>
      </c>
      <c r="M56" s="449">
        <f>SUMPRODUCT($C$27:$C$29,$J$16:$J$18)</f>
        <v>1</v>
      </c>
      <c r="N56" s="104">
        <v>0</v>
      </c>
      <c r="O56" s="104">
        <f>SUMPRODUCT($D$27:$D$29,$J$16:$J$18)</f>
        <v>8</v>
      </c>
      <c r="P56" s="104">
        <v>0</v>
      </c>
      <c r="Q56" s="450">
        <f>IF(N56&gt;L56/sndeps,L56/sndeps,N56+(L56/sndeps-N56)*sndeps/eps)</f>
        <v>2.9096328672788698</v>
      </c>
      <c r="R56" s="1310">
        <v>0</v>
      </c>
      <c r="S56" s="1310">
        <f>(I56+1-$J$15)*$O$2+D56*$O$3</f>
        <v>65.16326530612244</v>
      </c>
      <c r="T56" s="1310">
        <v>0</v>
      </c>
      <c r="U56" s="451">
        <v>0</v>
      </c>
      <c r="V56" s="451">
        <f t="shared" ref="V56:V87" si="4">IF(O56&gt;0,MIN(1,O56/Q56),0)</f>
        <v>1</v>
      </c>
      <c r="W56" s="451">
        <v>0</v>
      </c>
      <c r="X56" s="452">
        <f t="shared" ref="X56:X87" si="5">MIN(1,H56*10/Q56)*fw+(1-(MIN(1,H56*10/Q56)))*1</f>
        <v>1</v>
      </c>
      <c r="Y56" s="447">
        <f t="shared" ref="Y56:Y87" si="6">(I56*avginst)*X56*$K$4</f>
        <v>382.44868430760147</v>
      </c>
      <c r="Z56" s="447">
        <v>0</v>
      </c>
      <c r="AA56" s="447">
        <f>SUMPRODUCT($F$27:$F$29,$J$16:$J$18)*MIN(Q56/O56,1)*X56</f>
        <v>163.89276633127412</v>
      </c>
      <c r="AB56" s="447">
        <v>0</v>
      </c>
      <c r="AC56" s="447">
        <v>0</v>
      </c>
      <c r="AD56" s="447">
        <v>0</v>
      </c>
      <c r="AE56" s="447">
        <v>0</v>
      </c>
      <c r="AF56" s="448">
        <f t="shared" ref="AF56:AF81" si="7">SUM(Y56:AE56)</f>
        <v>546.34145063887559</v>
      </c>
      <c r="AG56" s="453">
        <f t="shared" ref="AG56:AG87" si="8">IF(AND(forceea,W56=0),0,IF(time=0, AF56/Q56, IF(time&lt;Q56, 0, AF56/Q56))*AQ56)</f>
        <v>187.76989247781694</v>
      </c>
      <c r="AH56" s="454">
        <v>0</v>
      </c>
      <c r="AI56" s="104">
        <f t="shared" ref="AI56:AI87" si="9">O56-$Q56</f>
        <v>5.0903671327211306</v>
      </c>
      <c r="AJ56" s="455">
        <v>0</v>
      </c>
      <c r="AK56" s="456"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5">
        <v>0</v>
      </c>
      <c r="D57" s="64">
        <v>1</v>
      </c>
      <c r="E57" s="64">
        <v>0</v>
      </c>
      <c r="F57" s="197">
        <v>0</v>
      </c>
      <c r="G57" s="197">
        <v>0</v>
      </c>
      <c r="H57" s="446">
        <f t="shared" si="1"/>
        <v>1</v>
      </c>
      <c r="I57" s="447">
        <f>K$15</f>
        <v>1.4</v>
      </c>
      <c r="J57" s="447">
        <f t="shared" si="2"/>
        <v>56.228571428571421</v>
      </c>
      <c r="K57" s="94">
        <f>SUMPRODUCT($E$28:$E$30,$K$16:$K$18)</f>
        <v>15</v>
      </c>
      <c r="L57" s="448">
        <f t="shared" si="3"/>
        <v>71.228571428571428</v>
      </c>
      <c r="M57" s="449">
        <f>SUMPRODUCT($C$28:$C$30,$K$16:$K$18)</f>
        <v>2</v>
      </c>
      <c r="N57" s="104">
        <v>0</v>
      </c>
      <c r="O57" s="104">
        <f>SUMPRODUCT($D$28:$D$30,$K$16:$K$18)</f>
        <v>10</v>
      </c>
      <c r="P57" s="104">
        <v>0</v>
      </c>
      <c r="Q57" s="450">
        <f t="shared" ref="Q57:Q65" si="11">IF(N57&gt;L57/sndeps,L57/sndeps,N57+(L57/sndeps-N57)*sndeps/eps)</f>
        <v>5.746491983576683</v>
      </c>
      <c r="R57" s="1310">
        <v>0</v>
      </c>
      <c r="S57" s="1310">
        <f>(I57+1-$J$15)*$O$2+D57*$O$3</f>
        <v>105.32653061224489</v>
      </c>
      <c r="T57" s="1310">
        <v>0</v>
      </c>
      <c r="U57" s="451">
        <v>0</v>
      </c>
      <c r="V57" s="451">
        <f t="shared" si="4"/>
        <v>1</v>
      </c>
      <c r="W57" s="451">
        <v>0</v>
      </c>
      <c r="X57" s="452">
        <f t="shared" si="5"/>
        <v>1</v>
      </c>
      <c r="Y57" s="447">
        <f t="shared" si="6"/>
        <v>1338.5703950766056</v>
      </c>
      <c r="Z57" s="447">
        <v>0</v>
      </c>
      <c r="AA57" s="447">
        <f>SUMPRODUCT($F$28:$F$30,$K$16:$K$18)*MIN(Q57/O57,1)*X57</f>
        <v>446.24549792363126</v>
      </c>
      <c r="AB57" s="447">
        <v>0</v>
      </c>
      <c r="AC57" s="447">
        <v>0</v>
      </c>
      <c r="AD57" s="447">
        <v>0</v>
      </c>
      <c r="AE57" s="447">
        <v>0</v>
      </c>
      <c r="AF57" s="448">
        <f t="shared" si="7"/>
        <v>1784.8158930002369</v>
      </c>
      <c r="AG57" s="453">
        <f t="shared" si="8"/>
        <v>310.59225316961931</v>
      </c>
      <c r="AH57" s="454">
        <v>0</v>
      </c>
      <c r="AI57" s="104">
        <f t="shared" si="9"/>
        <v>4.253508016423317</v>
      </c>
      <c r="AJ57" s="455">
        <v>0</v>
      </c>
      <c r="AK57" s="456" t="str">
        <f>IF(instatk="Mut","2-4r",IF(Sealfate&gt;0,"2-3r","2r"))</f>
        <v>2r</v>
      </c>
      <c r="AL57" t="str">
        <f>IF(AND(OR(allowrupt,NOT(D57)),OR(AND(poison,allowenv),NOT(F57)),$X$2-AG57&lt;50),MAX($AL$55:$AL56)+1,"")</f>
        <v/>
      </c>
      <c r="AO57">
        <f>AO56+1</f>
        <v>2</v>
      </c>
      <c r="AP57" t="str">
        <f t="shared" si="10"/>
        <v>2s/3r</v>
      </c>
      <c r="AQ57" t="b">
        <v>1</v>
      </c>
    </row>
    <row r="58" spans="2:43">
      <c r="B58" t="s">
        <v>352</v>
      </c>
      <c r="C58" s="445">
        <v>0</v>
      </c>
      <c r="D58" s="64">
        <v>1</v>
      </c>
      <c r="E58" s="64">
        <v>0</v>
      </c>
      <c r="F58" s="197">
        <v>0</v>
      </c>
      <c r="G58" s="197">
        <v>0</v>
      </c>
      <c r="H58" s="446">
        <f t="shared" si="1"/>
        <v>1</v>
      </c>
      <c r="I58" s="447">
        <f>L$15</f>
        <v>2.4</v>
      </c>
      <c r="J58" s="447">
        <f t="shared" si="2"/>
        <v>96.391836734693868</v>
      </c>
      <c r="K58" s="94">
        <f>SUMPRODUCT($E$29:$E$31,$L$16:$L$18)</f>
        <v>10</v>
      </c>
      <c r="L58" s="448">
        <f t="shared" si="3"/>
        <v>106.39183673469387</v>
      </c>
      <c r="M58" s="449">
        <f>SUMPRODUCT($C$29:$C$31,$L$16:$L$18)</f>
        <v>3</v>
      </c>
      <c r="N58" s="104">
        <v>0</v>
      </c>
      <c r="O58" s="104">
        <f>SUMPRODUCT($D$29:$D$31,$L$16:$L$18)</f>
        <v>12</v>
      </c>
      <c r="P58" s="104">
        <v>0</v>
      </c>
      <c r="Q58" s="450">
        <f t="shared" si="11"/>
        <v>8.5833510998744931</v>
      </c>
      <c r="R58" s="1310">
        <v>0</v>
      </c>
      <c r="S58" s="1310">
        <f>(I58+1-$J$15)*$O$2+D58*$O$3</f>
        <v>145.48979591836735</v>
      </c>
      <c r="T58" s="1310">
        <v>0</v>
      </c>
      <c r="U58" s="451">
        <v>0</v>
      </c>
      <c r="V58" s="451">
        <f t="shared" si="4"/>
        <v>1</v>
      </c>
      <c r="W58" s="451">
        <v>0</v>
      </c>
      <c r="X58" s="452">
        <f t="shared" si="5"/>
        <v>1</v>
      </c>
      <c r="Y58" s="447">
        <f t="shared" si="6"/>
        <v>2294.6921058456096</v>
      </c>
      <c r="Z58" s="447">
        <v>0</v>
      </c>
      <c r="AA58" s="447">
        <f>SUMPRODUCT($F$29:$F$31,$L$16:$L$18)*MIN(Q58/O58,1)*X58</f>
        <v>849.60527606140818</v>
      </c>
      <c r="AB58" s="447">
        <v>0</v>
      </c>
      <c r="AC58" s="447">
        <v>0</v>
      </c>
      <c r="AD58" s="447">
        <v>0</v>
      </c>
      <c r="AE58" s="447">
        <v>0</v>
      </c>
      <c r="AF58" s="448">
        <f t="shared" si="7"/>
        <v>3144.2973819070176</v>
      </c>
      <c r="AG58" s="453">
        <f t="shared" si="8"/>
        <v>366.32515031955222</v>
      </c>
      <c r="AH58" s="454">
        <v>0</v>
      </c>
      <c r="AI58" s="104">
        <f t="shared" si="9"/>
        <v>3.4166489001255069</v>
      </c>
      <c r="AJ58" s="455">
        <v>0</v>
      </c>
      <c r="AK58" s="456"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5">
        <v>0</v>
      </c>
      <c r="D59">
        <v>1</v>
      </c>
      <c r="E59" s="64">
        <v>0</v>
      </c>
      <c r="F59" s="197">
        <v>0</v>
      </c>
      <c r="G59" s="197">
        <v>0</v>
      </c>
      <c r="H59" s="446">
        <f t="shared" si="1"/>
        <v>1</v>
      </c>
      <c r="I59" s="447">
        <f>M$15</f>
        <v>3.4</v>
      </c>
      <c r="J59" s="447">
        <f t="shared" si="2"/>
        <v>136.55510204081631</v>
      </c>
      <c r="K59" s="94">
        <f>SUMPRODUCT($E$30:$E$32,$M$16:$M$18)</f>
        <v>5</v>
      </c>
      <c r="L59" s="448">
        <f t="shared" si="3"/>
        <v>141.55510204081631</v>
      </c>
      <c r="M59" s="449">
        <f>SUMPRODUCT($C$30:$C$32,$M$16:$M$18)</f>
        <v>4</v>
      </c>
      <c r="N59" s="105">
        <v>0</v>
      </c>
      <c r="O59" s="104">
        <f>SUMPRODUCT($D$30:$D$32,$M$16:$M$18)</f>
        <v>14</v>
      </c>
      <c r="P59" s="104">
        <v>0</v>
      </c>
      <c r="Q59" s="450">
        <f t="shared" si="11"/>
        <v>11.420210216172306</v>
      </c>
      <c r="R59" s="1310">
        <v>0</v>
      </c>
      <c r="S59" s="1310">
        <f>(I59+1-$J$15)*$O$2+D59*$O$3</f>
        <v>185.65306122448979</v>
      </c>
      <c r="T59" s="1310">
        <v>0</v>
      </c>
      <c r="U59" s="451">
        <v>0</v>
      </c>
      <c r="V59" s="451">
        <f t="shared" si="4"/>
        <v>1</v>
      </c>
      <c r="W59" s="451">
        <v>0</v>
      </c>
      <c r="X59" s="452">
        <f t="shared" si="5"/>
        <v>1</v>
      </c>
      <c r="Y59" s="447">
        <f t="shared" si="6"/>
        <v>3250.8138166146132</v>
      </c>
      <c r="Z59" s="106">
        <v>0</v>
      </c>
      <c r="AA59" s="447">
        <f>SUMPRODUCT($F$30:$F$32,$M$16:$M$18)*MIN(Q59/O59,1)*X59</f>
        <v>1193.2170711389094</v>
      </c>
      <c r="AB59" s="447">
        <v>0</v>
      </c>
      <c r="AC59" s="447">
        <v>0</v>
      </c>
      <c r="AD59" s="447">
        <v>0</v>
      </c>
      <c r="AE59" s="447">
        <v>0</v>
      </c>
      <c r="AF59" s="448">
        <f t="shared" si="7"/>
        <v>4444.0308877535226</v>
      </c>
      <c r="AG59" s="453">
        <f t="shared" si="8"/>
        <v>389.13739796665681</v>
      </c>
      <c r="AH59" s="454">
        <v>0</v>
      </c>
      <c r="AI59" s="104">
        <f t="shared" si="9"/>
        <v>2.5797897838276942</v>
      </c>
      <c r="AJ59" s="455">
        <v>0</v>
      </c>
      <c r="AK59" s="456" t="str">
        <f>IF(instatk="Mut","4-5r",IF(Sealfate&gt;0,"4-5r","4r"))</f>
        <v>4r</v>
      </c>
      <c r="AL59" t="str">
        <f>IF(AND(OR(allowrupt,NOT(D59)),OR(AND(poison,allowenv),NOT(F59)),$X$2-AG59&lt;50),MAX($AL$55:$AL58)+1,"")</f>
        <v/>
      </c>
      <c r="AO59">
        <f t="shared" si="12"/>
        <v>4</v>
      </c>
      <c r="AP59" t="str">
        <f t="shared" si="10"/>
        <v>4s/3r</v>
      </c>
      <c r="AQ59" t="b">
        <v>1</v>
      </c>
    </row>
    <row r="60" spans="2:43">
      <c r="B60" t="s">
        <v>120</v>
      </c>
      <c r="C60" s="445">
        <v>0</v>
      </c>
      <c r="D60" s="64">
        <v>1</v>
      </c>
      <c r="E60" s="64">
        <v>0</v>
      </c>
      <c r="F60" s="197">
        <v>0</v>
      </c>
      <c r="G60" s="197">
        <v>0</v>
      </c>
      <c r="H60" s="446">
        <f t="shared" si="1"/>
        <v>1</v>
      </c>
      <c r="I60" s="447">
        <f>N$15</f>
        <v>4.4000000000000004</v>
      </c>
      <c r="J60" s="447">
        <f t="shared" si="2"/>
        <v>176.71836734693878</v>
      </c>
      <c r="K60" s="94">
        <f>SUMPRODUCT($E$31:$E$33,$N$16:$N$18)</f>
        <v>0</v>
      </c>
      <c r="L60" s="448">
        <f t="shared" si="3"/>
        <v>176.71836734693878</v>
      </c>
      <c r="M60" s="449">
        <f>SUMPRODUCT($C$31:$C$33,$N$16:$N$18)</f>
        <v>5</v>
      </c>
      <c r="N60" s="104">
        <v>0</v>
      </c>
      <c r="O60" s="104">
        <f>SUMPRODUCT($D$31:$D$33,$N$16:$N$18)</f>
        <v>16</v>
      </c>
      <c r="P60" s="104">
        <v>0</v>
      </c>
      <c r="Q60" s="450">
        <f t="shared" si="11"/>
        <v>14.25706933247012</v>
      </c>
      <c r="R60" s="1310">
        <v>0</v>
      </c>
      <c r="S60" s="1310">
        <f>(I60+1-$J$15)*$O$2+D60*$O$3</f>
        <v>225.81632653061223</v>
      </c>
      <c r="T60" s="1310">
        <v>0</v>
      </c>
      <c r="U60" s="451">
        <v>0</v>
      </c>
      <c r="V60" s="451">
        <f t="shared" si="4"/>
        <v>1</v>
      </c>
      <c r="W60" s="451">
        <v>0</v>
      </c>
      <c r="X60" s="452">
        <f t="shared" si="5"/>
        <v>1</v>
      </c>
      <c r="Y60" s="447">
        <f t="shared" si="6"/>
        <v>4206.9355273836181</v>
      </c>
      <c r="Z60" s="447">
        <v>0</v>
      </c>
      <c r="AA60" s="447">
        <f>SUMPRODUCT($F$31:$F$33,$N$16:$N$18)*MIN(Q60/O60,1)*X60</f>
        <v>1568.0343164956864</v>
      </c>
      <c r="AB60" s="447">
        <v>0</v>
      </c>
      <c r="AC60" s="447">
        <v>0</v>
      </c>
      <c r="AD60" s="447">
        <v>0</v>
      </c>
      <c r="AE60" s="447">
        <v>0</v>
      </c>
      <c r="AF60" s="448">
        <f t="shared" si="7"/>
        <v>5774.9698438793048</v>
      </c>
      <c r="AG60" s="453">
        <f t="shared" si="8"/>
        <v>405.06009399329741</v>
      </c>
      <c r="AH60" s="454">
        <v>0</v>
      </c>
      <c r="AI60" s="104">
        <f t="shared" si="9"/>
        <v>1.7429306675298797</v>
      </c>
      <c r="AJ60" s="455">
        <v>0</v>
      </c>
      <c r="AK60" s="456" t="str">
        <f>IF(instatk="Mut","5-5r",IF(Sealfate&gt;0,"5-5r","5r"))</f>
        <v>5r</v>
      </c>
      <c r="AL60" t="str">
        <f>IF(AND(OR(allowrupt,NOT(D60)),OR(AND(poison,allowenv),NOT(F60)),$X$2-AG60&lt;50),MAX($AL$55:$AL59)+1,"")</f>
        <v/>
      </c>
      <c r="AO60">
        <f t="shared" si="12"/>
        <v>5</v>
      </c>
      <c r="AP60" t="str">
        <f t="shared" si="10"/>
        <v>5s/3r</v>
      </c>
      <c r="AQ60" t="b">
        <v>1</v>
      </c>
    </row>
    <row r="61" spans="2:43">
      <c r="B61" t="s">
        <v>217</v>
      </c>
      <c r="C61" s="445">
        <v>1</v>
      </c>
      <c r="D61" s="64">
        <v>1</v>
      </c>
      <c r="E61" s="64">
        <v>0</v>
      </c>
      <c r="F61" s="197">
        <v>0</v>
      </c>
      <c r="G61" s="197">
        <v>0</v>
      </c>
      <c r="H61" s="446">
        <f t="shared" si="1"/>
        <v>2</v>
      </c>
      <c r="I61" s="447">
        <f>J$15+L$15</f>
        <v>2.8</v>
      </c>
      <c r="J61" s="447">
        <f t="shared" si="2"/>
        <v>112.45714285714284</v>
      </c>
      <c r="K61" s="447">
        <f>SUMPRODUCT($E$13:$E$15,$J$16:$J$18)+SUMPRODUCT($E$29:$E$31,$L$16:$L$18)</f>
        <v>30</v>
      </c>
      <c r="L61" s="448">
        <f>J61+K61</f>
        <v>142.45714285714286</v>
      </c>
      <c r="M61" s="449">
        <f>SUMPRODUCT($C$13:$C$15,$J$16:$J$18)+SUMPRODUCT($C$29:$C$31,$L$16:$L$18)</f>
        <v>4</v>
      </c>
      <c r="N61" s="104">
        <f>SUMPRODUCT($D$13:$D$15,$J$16:$J$18)</f>
        <v>17.399999999999999</v>
      </c>
      <c r="O61" s="104">
        <f>SUMPRODUCT($D$29:$D$31,$L$16:$L$18)</f>
        <v>12</v>
      </c>
      <c r="P61" s="104">
        <v>0</v>
      </c>
      <c r="Q61" s="450">
        <f t="shared" si="11"/>
        <v>10.817874243970381</v>
      </c>
      <c r="R61" s="1310">
        <f>(J$15+1-$J$15)*$O$2+25</f>
        <v>65.16326530612244</v>
      </c>
      <c r="S61" s="1310">
        <f>(I61+1-$J$15)*$O$2+C61*$E$13+D61*$O$3</f>
        <v>181.55510204081631</v>
      </c>
      <c r="T61" s="1310">
        <v>0</v>
      </c>
      <c r="U61" s="451">
        <f t="shared" ref="U61:U92" si="13">IF(N61&gt;0,MIN(1,N61/Q61),0)</f>
        <v>1</v>
      </c>
      <c r="V61" s="451">
        <f t="shared" si="4"/>
        <v>1</v>
      </c>
      <c r="W61" s="451">
        <v>0</v>
      </c>
      <c r="X61" s="452">
        <f t="shared" si="5"/>
        <v>1</v>
      </c>
      <c r="Y61" s="447">
        <f t="shared" si="6"/>
        <v>2677.1407901532111</v>
      </c>
      <c r="Z61" s="447">
        <f t="shared" ref="Z61:Z92" si="14">Q61*U61*$O$6*(sndfact-1)*$K$4</f>
        <v>1921.0279994652158</v>
      </c>
      <c r="AA61" s="447">
        <f>SUMPRODUCT($F$29:$F$31,$L$16:$L$18)*MIN(Q61/O61,1)*X61</f>
        <v>1070.7849331225009</v>
      </c>
      <c r="AB61" s="447">
        <v>0</v>
      </c>
      <c r="AC61" s="447">
        <v>0</v>
      </c>
      <c r="AD61" s="447">
        <v>0</v>
      </c>
      <c r="AE61" s="447">
        <v>0</v>
      </c>
      <c r="AF61" s="448">
        <f t="shared" si="7"/>
        <v>5668.9537227409273</v>
      </c>
      <c r="AG61" s="453">
        <f t="shared" si="8"/>
        <v>524.03583133725772</v>
      </c>
      <c r="AH61" s="454">
        <f t="shared" ref="AH61:AH92" si="15">N61-$Q61</f>
        <v>6.5821257560296171</v>
      </c>
      <c r="AI61" s="104">
        <f t="shared" si="9"/>
        <v>1.1821257560296186</v>
      </c>
      <c r="AJ61" s="455">
        <v>0</v>
      </c>
      <c r="AK61" s="456" t="str">
        <f>IF(instatk="Mut","1-3s/3-5r",IF(Sealfate&gt;0,"1-2s/3-4r","1s/3r"))</f>
        <v>1s/3r</v>
      </c>
      <c r="AL61">
        <f>IF(AND(OR(allowrupt,NOT(D61)),OR(AND(poison,allowenv),NOT(F61)),$X$2-AG61&lt;50),MAX($AL$55:$AL60)+1,"")</f>
        <v>1</v>
      </c>
      <c r="AO61">
        <f t="shared" si="12"/>
        <v>6</v>
      </c>
      <c r="AP61" t="str">
        <f t="shared" si="10"/>
        <v>1s/4r</v>
      </c>
      <c r="AQ61" t="b">
        <v>1</v>
      </c>
    </row>
    <row r="62" spans="2:43">
      <c r="B62" t="s">
        <v>353</v>
      </c>
      <c r="C62" s="445">
        <v>1</v>
      </c>
      <c r="D62" s="64">
        <v>1</v>
      </c>
      <c r="E62" s="64">
        <v>0</v>
      </c>
      <c r="F62" s="197">
        <v>0</v>
      </c>
      <c r="G62" s="197">
        <v>0</v>
      </c>
      <c r="H62" s="446">
        <f t="shared" si="1"/>
        <v>2</v>
      </c>
      <c r="I62" s="447">
        <f>K$15+L$15</f>
        <v>3.8</v>
      </c>
      <c r="J62" s="447">
        <f t="shared" si="2"/>
        <v>152.6204081632653</v>
      </c>
      <c r="K62" s="447">
        <f>SUMPRODUCT($E$14:$E$16,$K$16:$K$18)+SUMPRODUCT($E$29:$E$31,$L$16:$L$18)</f>
        <v>25</v>
      </c>
      <c r="L62" s="448">
        <f t="shared" si="3"/>
        <v>177.6204081632653</v>
      </c>
      <c r="M62" s="449">
        <f>SUMPRODUCT($C$14:$C$16,$K$16:$K$18)+SUMPRODUCT($C$29:$C$31,$L$16:$L$18)</f>
        <v>5</v>
      </c>
      <c r="N62" s="104">
        <f>SUMPRODUCT($D$14:$D$16,$K$16:$K$18)</f>
        <v>21.75</v>
      </c>
      <c r="O62" s="104">
        <f>SUMPRODUCT($D$29:$D$31,$L$16:$L$18)</f>
        <v>12</v>
      </c>
      <c r="P62" s="104">
        <v>0</v>
      </c>
      <c r="Q62" s="450">
        <f t="shared" si="11"/>
        <v>13.488093332039972</v>
      </c>
      <c r="R62" s="1310">
        <f>(K$15+1-$J$15)*$O$2+25</f>
        <v>105.32653061224489</v>
      </c>
      <c r="S62" s="1310">
        <f>(I62+1-$J$15)*$O$2+C62*$E$14+D62*$O$3</f>
        <v>216.71836734693878</v>
      </c>
      <c r="T62" s="1310">
        <v>0</v>
      </c>
      <c r="U62" s="451">
        <f t="shared" si="13"/>
        <v>1</v>
      </c>
      <c r="V62" s="451">
        <f t="shared" si="4"/>
        <v>0.88967355908598911</v>
      </c>
      <c r="W62" s="451">
        <v>0</v>
      </c>
      <c r="X62" s="452">
        <f t="shared" si="5"/>
        <v>1</v>
      </c>
      <c r="Y62" s="447">
        <f t="shared" si="6"/>
        <v>3633.2625009222152</v>
      </c>
      <c r="Z62" s="447">
        <f t="shared" si="14"/>
        <v>2395.2030099343247</v>
      </c>
      <c r="AA62" s="447">
        <f>SUMPRODUCT($F$29:$F$31,$L$16:$L$18)*MIN(Q62/O62,1)*X62</f>
        <v>1187.7952088999336</v>
      </c>
      <c r="AB62" s="447">
        <v>0</v>
      </c>
      <c r="AC62" s="447">
        <v>0</v>
      </c>
      <c r="AD62" s="447">
        <v>0</v>
      </c>
      <c r="AE62" s="447">
        <v>0</v>
      </c>
      <c r="AF62" s="448">
        <f t="shared" si="7"/>
        <v>7216.2607197564739</v>
      </c>
      <c r="AG62" s="453">
        <f t="shared" si="8"/>
        <v>535.00969648651369</v>
      </c>
      <c r="AH62" s="454">
        <f t="shared" si="15"/>
        <v>8.2619066679600284</v>
      </c>
      <c r="AI62" s="104">
        <f t="shared" si="9"/>
        <v>-1.4880933320399716</v>
      </c>
      <c r="AJ62" s="455">
        <v>0</v>
      </c>
      <c r="AK62" s="456" t="str">
        <f>IF(instatk="Mut","2-4s/3-5r",IF(Sealfate&gt;0,"2-3s/3-4r","2s/3r"))</f>
        <v>2s/3r</v>
      </c>
      <c r="AL62">
        <f>IF(AND(OR(allowrupt,NOT(D62)),OR(AND(poison,allowenv),NOT(F62)),$X$2-AG62&lt;50),MAX($AL$55:$AL61)+1,"")</f>
        <v>2</v>
      </c>
      <c r="AO62">
        <f t="shared" si="12"/>
        <v>7</v>
      </c>
      <c r="AP62" t="str">
        <f t="shared" si="10"/>
        <v>2s/4r</v>
      </c>
      <c r="AQ62" t="b">
        <v>1</v>
      </c>
    </row>
    <row r="63" spans="2:43">
      <c r="B63" t="s">
        <v>354</v>
      </c>
      <c r="C63" s="445">
        <v>1</v>
      </c>
      <c r="D63" s="64">
        <v>1</v>
      </c>
      <c r="E63" s="64">
        <v>0</v>
      </c>
      <c r="F63" s="197">
        <v>0</v>
      </c>
      <c r="G63" s="197">
        <v>0</v>
      </c>
      <c r="H63" s="446">
        <f t="shared" si="1"/>
        <v>2</v>
      </c>
      <c r="I63" s="447">
        <f>L$15+L$15</f>
        <v>4.8</v>
      </c>
      <c r="J63" s="447">
        <f t="shared" si="2"/>
        <v>192.78367346938774</v>
      </c>
      <c r="K63" s="447">
        <f>SUMPRODUCT($E$15:$E$17,$L$16:$L$18)+SUMPRODUCT($E$29:$E$31,$L$16:$L$18)</f>
        <v>20</v>
      </c>
      <c r="L63" s="448">
        <f t="shared" si="3"/>
        <v>212.78367346938774</v>
      </c>
      <c r="M63" s="449">
        <f>SUMPRODUCT($C$15:$C$17,$L$16:$L$18)+SUMPRODUCT($C$29:$C$31,$L$16:$L$18)</f>
        <v>6</v>
      </c>
      <c r="N63" s="104">
        <f>SUMPRODUCT($D$15:$D$17,$L$16:$L$18)</f>
        <v>26.099999999999998</v>
      </c>
      <c r="O63" s="104">
        <f>SUMPRODUCT($D$29:$D$31,$L$16:$L$18)</f>
        <v>12</v>
      </c>
      <c r="P63" s="104">
        <v>0</v>
      </c>
      <c r="Q63" s="450">
        <f t="shared" si="11"/>
        <v>16.15831242010956</v>
      </c>
      <c r="R63" s="1310">
        <f>(L$15+1-$J$15)*$O$2+25</f>
        <v>145.48979591836735</v>
      </c>
      <c r="S63" s="1310">
        <f>(I63+1-$J$15)*$O$2+C63*$E$15+D63*$O$3</f>
        <v>251.88163265306122</v>
      </c>
      <c r="T63" s="1310">
        <v>0</v>
      </c>
      <c r="U63" s="451">
        <f t="shared" si="13"/>
        <v>1</v>
      </c>
      <c r="V63" s="451">
        <f t="shared" si="4"/>
        <v>0.74265181214503562</v>
      </c>
      <c r="W63" s="451">
        <v>0</v>
      </c>
      <c r="X63" s="452">
        <f t="shared" si="5"/>
        <v>1</v>
      </c>
      <c r="Y63" s="447">
        <f t="shared" si="6"/>
        <v>4589.3842116912192</v>
      </c>
      <c r="Z63" s="447">
        <f t="shared" si="14"/>
        <v>2869.3780204034329</v>
      </c>
      <c r="AA63" s="447">
        <f>SUMPRODUCT($F$29:$F$31,$L$16:$L$18)*MIN(Q63/O63,1)*X63</f>
        <v>1187.7952088999336</v>
      </c>
      <c r="AB63" s="447">
        <v>0</v>
      </c>
      <c r="AC63" s="447">
        <v>0</v>
      </c>
      <c r="AD63" s="447">
        <v>0</v>
      </c>
      <c r="AE63" s="447">
        <v>0</v>
      </c>
      <c r="AF63" s="448">
        <f t="shared" si="7"/>
        <v>8646.5574409945857</v>
      </c>
      <c r="AG63" s="453">
        <f t="shared" si="8"/>
        <v>535.11512936423082</v>
      </c>
      <c r="AH63" s="454">
        <f t="shared" si="15"/>
        <v>9.9416875798904378</v>
      </c>
      <c r="AI63" s="104">
        <f t="shared" si="9"/>
        <v>-4.15831242010956</v>
      </c>
      <c r="AJ63" s="455">
        <v>0</v>
      </c>
      <c r="AK63" s="456" t="str">
        <f>IF(instatk="Mut","3-5s/3-5r",IF(Sealfate&gt;0,"3-4s/3-4r","3s/3r"))</f>
        <v>3s/3r</v>
      </c>
      <c r="AL63">
        <f>IF(AND(OR(allowrupt,NOT(D63)),OR(AND(poison,allowenv),NOT(F63)),$X$2-AG63&lt;50),MAX($AL$55:$AL62)+1,"")</f>
        <v>3</v>
      </c>
      <c r="AO63">
        <f t="shared" si="12"/>
        <v>8</v>
      </c>
      <c r="AP63" t="str">
        <f t="shared" si="10"/>
        <v>3s/4r</v>
      </c>
      <c r="AQ63" t="b">
        <v>1</v>
      </c>
    </row>
    <row r="64" spans="2:43">
      <c r="B64" t="s">
        <v>195</v>
      </c>
      <c r="C64" s="445">
        <v>1</v>
      </c>
      <c r="D64" s="64">
        <v>1</v>
      </c>
      <c r="E64" s="64">
        <v>0</v>
      </c>
      <c r="F64" s="197">
        <v>0</v>
      </c>
      <c r="G64" s="197">
        <v>0</v>
      </c>
      <c r="H64" s="446">
        <f t="shared" si="1"/>
        <v>2</v>
      </c>
      <c r="I64" s="447">
        <f>M$15+L$15</f>
        <v>5.8</v>
      </c>
      <c r="J64" s="447">
        <f t="shared" si="2"/>
        <v>232.94693877551018</v>
      </c>
      <c r="K64" s="447">
        <f>SUMPRODUCT($E$16:$E$18,$M$16:$M$18)+SUMPRODUCT($E$29:$E$31,$L$16:$L$18)</f>
        <v>15</v>
      </c>
      <c r="L64" s="448">
        <f t="shared" si="3"/>
        <v>247.94693877551018</v>
      </c>
      <c r="M64" s="449">
        <f>SUMPRODUCT($C$16:$C$18,$M$16:$M$18)+SUMPRODUCT($C$29:$C$31,$L$16:$L$18)</f>
        <v>7</v>
      </c>
      <c r="N64" s="104">
        <f>SUMPRODUCT($D$16:$D$18,$M$16:$M$18)</f>
        <v>30.45</v>
      </c>
      <c r="O64" s="104">
        <f>SUMPRODUCT($D$29:$D$31,$L$16:$L$18)</f>
        <v>12</v>
      </c>
      <c r="P64" s="104">
        <v>0</v>
      </c>
      <c r="Q64" s="450">
        <f t="shared" si="11"/>
        <v>18.82853150817915</v>
      </c>
      <c r="R64" s="1310">
        <f>(M$15+1-$J$15)*$O$2+25</f>
        <v>185.65306122448979</v>
      </c>
      <c r="S64" s="1310">
        <f>(I64+1-$J$15)*$O$2+C64*$E$16+D64*$O$3</f>
        <v>287.04489795918369</v>
      </c>
      <c r="T64" s="1310">
        <v>0</v>
      </c>
      <c r="U64" s="451">
        <f t="shared" si="13"/>
        <v>1</v>
      </c>
      <c r="V64" s="451">
        <f t="shared" si="4"/>
        <v>0.63733063806846413</v>
      </c>
      <c r="W64" s="451">
        <v>0</v>
      </c>
      <c r="X64" s="452">
        <f t="shared" si="5"/>
        <v>1</v>
      </c>
      <c r="Y64" s="447">
        <f t="shared" si="6"/>
        <v>5545.5059224602228</v>
      </c>
      <c r="Z64" s="447">
        <f t="shared" si="14"/>
        <v>3343.5530308725415</v>
      </c>
      <c r="AA64" s="447">
        <f>SUMPRODUCT($F$29:$F$31,$L$16:$L$18)*MIN(Q64/O64,1)*X64</f>
        <v>1187.7952088999336</v>
      </c>
      <c r="AB64" s="447">
        <v>0</v>
      </c>
      <c r="AC64" s="447">
        <v>0</v>
      </c>
      <c r="AD64" s="447">
        <v>0</v>
      </c>
      <c r="AE64" s="447">
        <v>0</v>
      </c>
      <c r="AF64" s="448">
        <f t="shared" si="7"/>
        <v>10076.854162232697</v>
      </c>
      <c r="AG64" s="453">
        <f t="shared" si="8"/>
        <v>535.19065774488536</v>
      </c>
      <c r="AH64" s="454">
        <f t="shared" si="15"/>
        <v>11.621468491820849</v>
      </c>
      <c r="AI64" s="104">
        <f t="shared" si="9"/>
        <v>-6.8285315081791502</v>
      </c>
      <c r="AJ64" s="455">
        <v>0</v>
      </c>
      <c r="AK64" s="456" t="str">
        <f>IF(instatk="Mut","4-5s/3-5r",IF(Sealfate&gt;0,"4-5s/3-4r","4s/3r"))</f>
        <v>4s/3r</v>
      </c>
      <c r="AL64">
        <f>IF(AND(OR(allowrupt,NOT(D64)),OR(AND(poison,allowenv),NOT(F64)),$X$2-AG64&lt;50),MAX($AL$55:$AL63)+1,"")</f>
        <v>4</v>
      </c>
      <c r="AO64">
        <f t="shared" si="12"/>
        <v>9</v>
      </c>
      <c r="AP64" t="str">
        <f t="shared" si="10"/>
        <v>4s/4r</v>
      </c>
      <c r="AQ64" t="b">
        <v>1</v>
      </c>
    </row>
    <row r="65" spans="2:43">
      <c r="B65" t="s">
        <v>196</v>
      </c>
      <c r="C65" s="445">
        <v>1</v>
      </c>
      <c r="D65" s="64">
        <v>1</v>
      </c>
      <c r="E65" s="64">
        <v>0</v>
      </c>
      <c r="F65" s="197">
        <v>0</v>
      </c>
      <c r="G65" s="197">
        <v>0</v>
      </c>
      <c r="H65" s="446">
        <f t="shared" si="1"/>
        <v>2</v>
      </c>
      <c r="I65" s="447">
        <f>N$15+L$15</f>
        <v>6.8000000000000007</v>
      </c>
      <c r="J65" s="447">
        <f t="shared" si="2"/>
        <v>273.11020408163267</v>
      </c>
      <c r="K65" s="447">
        <f>SUMPRODUCT($E$17:$E$19,$N$16:$N$18)+SUMPRODUCT($E$29:$E$31,$L$16:$L$18)</f>
        <v>10</v>
      </c>
      <c r="L65" s="448">
        <f t="shared" si="3"/>
        <v>283.11020408163267</v>
      </c>
      <c r="M65" s="449">
        <f>SUMPRODUCT($C$17:$C$19,$N$16:$N$18)+SUMPRODUCT($C$29:$C$31,$L$16:$L$18)</f>
        <v>8</v>
      </c>
      <c r="N65" s="104">
        <f>SUMPRODUCT($D$17:$D$19,$N$16:$N$18)</f>
        <v>34.799999999999997</v>
      </c>
      <c r="O65" s="104">
        <f>SUMPRODUCT($D$29:$D$31,$L$16:$L$18)</f>
        <v>12</v>
      </c>
      <c r="P65" s="104">
        <v>0</v>
      </c>
      <c r="Q65" s="450">
        <f t="shared" si="11"/>
        <v>21.498750596248744</v>
      </c>
      <c r="R65" s="1310">
        <f>(N$15+1-$J$15)*$O$2+25</f>
        <v>225.81632653061223</v>
      </c>
      <c r="S65" s="1310">
        <f>(I65+1-$J$15)*$O$2+C65*$E$17+D65*$O$3</f>
        <v>322.2081632653061</v>
      </c>
      <c r="T65" s="1310">
        <v>0</v>
      </c>
      <c r="U65" s="451">
        <f t="shared" si="13"/>
        <v>1</v>
      </c>
      <c r="V65" s="451">
        <f t="shared" si="4"/>
        <v>0.55817197126301121</v>
      </c>
      <c r="W65" s="451">
        <v>0</v>
      </c>
      <c r="X65" s="452">
        <f t="shared" si="5"/>
        <v>1</v>
      </c>
      <c r="Y65" s="447">
        <f t="shared" si="6"/>
        <v>6501.6276332292282</v>
      </c>
      <c r="Z65" s="447">
        <f t="shared" si="14"/>
        <v>3817.7280413416511</v>
      </c>
      <c r="AA65" s="447">
        <f>SUMPRODUCT($F$29:$F$31,$L$16:$L$18)*MIN(Q65/O65,1)*X65</f>
        <v>1187.7952088999336</v>
      </c>
      <c r="AB65" s="447">
        <v>0</v>
      </c>
      <c r="AC65" s="447">
        <v>0</v>
      </c>
      <c r="AD65" s="447">
        <v>0</v>
      </c>
      <c r="AE65" s="447">
        <v>0</v>
      </c>
      <c r="AF65" s="448">
        <f t="shared" si="7"/>
        <v>11507.150883470813</v>
      </c>
      <c r="AG65" s="453">
        <f t="shared" si="8"/>
        <v>535.24742435398377</v>
      </c>
      <c r="AH65" s="454">
        <f t="shared" si="15"/>
        <v>13.301249403751253</v>
      </c>
      <c r="AI65" s="104">
        <f t="shared" si="9"/>
        <v>-9.498750596248744</v>
      </c>
      <c r="AJ65" s="455">
        <v>0</v>
      </c>
      <c r="AK65" s="456" t="str">
        <f>IF(instatk="Mut","5-5s/3-5r",IF(Sealfate&gt;0,"5-5s/3-4r","5s/3r"))</f>
        <v>5s/3r</v>
      </c>
      <c r="AL65">
        <f>IF(AND(OR(allowrupt,NOT(D65)),OR(AND(poison,allowenv),NOT(F65)),$X$2-AG65&lt;50),MAX($AL$55:$AL64)+1,"")</f>
        <v>5</v>
      </c>
      <c r="AO65">
        <f t="shared" si="12"/>
        <v>10</v>
      </c>
      <c r="AP65" t="str">
        <f t="shared" si="10"/>
        <v>5s/4r</v>
      </c>
      <c r="AQ65" t="b">
        <v>1</v>
      </c>
    </row>
    <row r="66" spans="2:43">
      <c r="B66" t="s">
        <v>199</v>
      </c>
      <c r="C66" s="445">
        <v>1</v>
      </c>
      <c r="D66" s="64">
        <v>1</v>
      </c>
      <c r="E66" s="64">
        <v>0</v>
      </c>
      <c r="F66" s="197">
        <v>0</v>
      </c>
      <c r="G66" s="197">
        <v>0</v>
      </c>
      <c r="H66" s="446">
        <f t="shared" si="1"/>
        <v>2</v>
      </c>
      <c r="I66" s="447">
        <f>J$15+M$15</f>
        <v>3.8</v>
      </c>
      <c r="J66" s="447">
        <f t="shared" si="2"/>
        <v>152.6204081632653</v>
      </c>
      <c r="K66" s="447">
        <f>SUMPRODUCT($E$13:$E$15,$J$16:$J$18)+SUMPRODUCT($E$30:$E$32,$M$16:$M$18)</f>
        <v>25</v>
      </c>
      <c r="L66" s="448">
        <f t="shared" si="3"/>
        <v>177.6204081632653</v>
      </c>
      <c r="M66" s="449">
        <f>SUMPRODUCT($C$13:$C$15,$J$16:$J$18)+SUMPRODUCT($C$30:$C$32,$M$16:$M$18)</f>
        <v>5</v>
      </c>
      <c r="N66" s="104">
        <f>SUMPRODUCT($D$13:$D$15,$J$16:$J$18)</f>
        <v>17.399999999999999</v>
      </c>
      <c r="O66" s="104">
        <f>SUMPRODUCT($D$30:$D$32,$M$16:$M$18)</f>
        <v>14</v>
      </c>
      <c r="P66" s="104">
        <v>0</v>
      </c>
      <c r="Q66" s="450">
        <f t="shared" ref="Q66:Q81" si="16">IF(N66&gt;L66/sndeps,L66/sndeps,N66+(L66/sndeps-N66)*sndeps/eps)</f>
        <v>13.488093332039972</v>
      </c>
      <c r="R66" s="1310">
        <f>(J$15+1-$J$15)*$O$2+C66*25</f>
        <v>65.16326530612244</v>
      </c>
      <c r="S66" s="1310">
        <f>(I66+1-$J$15)*$O$2+C66*$E$13+D66*$O$3</f>
        <v>221.71836734693878</v>
      </c>
      <c r="T66" s="1310">
        <v>0</v>
      </c>
      <c r="U66" s="451">
        <f t="shared" si="13"/>
        <v>1</v>
      </c>
      <c r="V66" s="451">
        <f t="shared" si="4"/>
        <v>1</v>
      </c>
      <c r="W66" s="451">
        <v>0</v>
      </c>
      <c r="X66" s="452">
        <f t="shared" si="5"/>
        <v>1</v>
      </c>
      <c r="Y66" s="447">
        <f t="shared" si="6"/>
        <v>3633.2625009222152</v>
      </c>
      <c r="Z66" s="447">
        <f t="shared" si="14"/>
        <v>2395.2030099343247</v>
      </c>
      <c r="AA66" s="447">
        <f>SUMPRODUCT($F$30:$F$32,$M$16:$M$18)*MIN(Q66/O66,1)*X66</f>
        <v>1409.2755664089048</v>
      </c>
      <c r="AB66" s="447">
        <v>0</v>
      </c>
      <c r="AC66" s="447">
        <v>0</v>
      </c>
      <c r="AD66" s="447">
        <v>0</v>
      </c>
      <c r="AE66" s="447">
        <v>0</v>
      </c>
      <c r="AF66" s="448">
        <f t="shared" si="7"/>
        <v>7437.7410772654448</v>
      </c>
      <c r="AG66" s="453">
        <f t="shared" si="8"/>
        <v>551.4301313142339</v>
      </c>
      <c r="AH66" s="454">
        <f t="shared" si="15"/>
        <v>3.911906667960027</v>
      </c>
      <c r="AI66" s="104">
        <f t="shared" si="9"/>
        <v>0.51190666796002837</v>
      </c>
      <c r="AJ66" s="455">
        <v>0</v>
      </c>
      <c r="AK66" s="456" t="str">
        <f>IF(instatk="Mut","1-3s/4-5r",IF(Sealfate&gt;0,"1-2s/4-5r","1s/4r"))</f>
        <v>1s/4r</v>
      </c>
      <c r="AL66">
        <f>IF(AND(OR(allowrupt,NOT(D66)),OR(AND(poison,allowenv),NOT(F66)),$X$2-AG66&lt;50),MAX($AL$55:$AL65)+1,"")</f>
        <v>6</v>
      </c>
      <c r="AO66">
        <f t="shared" si="12"/>
        <v>11</v>
      </c>
      <c r="AP66" t="str">
        <f t="shared" si="10"/>
        <v>1s/5r</v>
      </c>
      <c r="AQ66" t="b">
        <v>1</v>
      </c>
    </row>
    <row r="67" spans="2:43">
      <c r="B67" t="s">
        <v>200</v>
      </c>
      <c r="C67" s="445">
        <v>1</v>
      </c>
      <c r="D67" s="64">
        <v>1</v>
      </c>
      <c r="E67" s="64">
        <v>0</v>
      </c>
      <c r="F67" s="197">
        <v>0</v>
      </c>
      <c r="G67" s="197">
        <v>0</v>
      </c>
      <c r="H67" s="446">
        <f t="shared" si="1"/>
        <v>2</v>
      </c>
      <c r="I67" s="447">
        <f>K$15+M$15</f>
        <v>4.8</v>
      </c>
      <c r="J67" s="447">
        <f t="shared" si="2"/>
        <v>192.78367346938774</v>
      </c>
      <c r="K67" s="447">
        <f>SUMPRODUCT($E$14:$E$16,$K$16:$K$18)+SUMPRODUCT($E$30:$E$32,$M$16:$M$18)</f>
        <v>20</v>
      </c>
      <c r="L67" s="448">
        <f t="shared" si="3"/>
        <v>212.78367346938774</v>
      </c>
      <c r="M67" s="449">
        <f>SUMPRODUCT($C$14:$C$16,$K$16:$K$18)+SUMPRODUCT($C$30:$C$32,$M$16:$M$18)</f>
        <v>6</v>
      </c>
      <c r="N67" s="104">
        <f>SUMPRODUCT($D$14:$D$16,$K$16:$K$18)</f>
        <v>21.75</v>
      </c>
      <c r="O67" s="104">
        <f>SUMPRODUCT($D$30:$D$32,$M$16:$M$18)</f>
        <v>14</v>
      </c>
      <c r="P67" s="104">
        <v>0</v>
      </c>
      <c r="Q67" s="450">
        <f t="shared" si="16"/>
        <v>16.15831242010956</v>
      </c>
      <c r="R67" s="1310">
        <f>(K$15+1-$J$15)*$O$2+C67*25</f>
        <v>105.32653061224489</v>
      </c>
      <c r="S67" s="1310">
        <f>(I67+1-$J$15)*$O$2+C67*$E$14+D67*$O$3</f>
        <v>256.88163265306122</v>
      </c>
      <c r="T67" s="1310">
        <v>0</v>
      </c>
      <c r="U67" s="451">
        <f t="shared" si="13"/>
        <v>1</v>
      </c>
      <c r="V67" s="451">
        <f t="shared" si="4"/>
        <v>0.86642711416920815</v>
      </c>
      <c r="W67" s="451">
        <v>0</v>
      </c>
      <c r="X67" s="452">
        <f t="shared" si="5"/>
        <v>1</v>
      </c>
      <c r="Y67" s="447">
        <f t="shared" si="6"/>
        <v>4589.3842116912192</v>
      </c>
      <c r="Z67" s="447">
        <f t="shared" si="14"/>
        <v>2869.3780204034329</v>
      </c>
      <c r="AA67" s="447">
        <f>SUMPRODUCT($F$30:$F$32,$M$16:$M$18)*MIN(Q67/O67,1)*X67</f>
        <v>1462.7610770499225</v>
      </c>
      <c r="AB67" s="447">
        <v>0</v>
      </c>
      <c r="AC67" s="447">
        <v>0</v>
      </c>
      <c r="AD67" s="447">
        <v>0</v>
      </c>
      <c r="AE67" s="447">
        <v>0</v>
      </c>
      <c r="AF67" s="448">
        <f t="shared" si="7"/>
        <v>8921.5233091445753</v>
      </c>
      <c r="AG67" s="453">
        <f t="shared" si="8"/>
        <v>552.13212105253274</v>
      </c>
      <c r="AH67" s="454">
        <f t="shared" si="15"/>
        <v>5.59168757989044</v>
      </c>
      <c r="AI67" s="104">
        <f t="shared" si="9"/>
        <v>-2.15831242010956</v>
      </c>
      <c r="AJ67" s="455">
        <v>0</v>
      </c>
      <c r="AK67" s="456" t="str">
        <f>IF(instatk="Mut","2-4s/4-5r",IF(Sealfate&gt;0,"2-3s/4-5r","2s/4r"))</f>
        <v>2s/4r</v>
      </c>
      <c r="AL67">
        <f>IF(AND(OR(allowrupt,NOT(D67)),OR(AND(poison,allowenv),NOT(F67)),$X$2-AG67&lt;50),MAX($AL$55:$AL66)+1,"")</f>
        <v>7</v>
      </c>
      <c r="AO67">
        <f t="shared" si="12"/>
        <v>12</v>
      </c>
      <c r="AP67" t="str">
        <f t="shared" si="10"/>
        <v>2s/5r</v>
      </c>
      <c r="AQ67" t="b">
        <v>1</v>
      </c>
    </row>
    <row r="68" spans="2:43">
      <c r="B68" t="s">
        <v>201</v>
      </c>
      <c r="C68" s="445">
        <v>1</v>
      </c>
      <c r="D68" s="64">
        <v>1</v>
      </c>
      <c r="E68" s="64">
        <v>0</v>
      </c>
      <c r="F68" s="197">
        <v>0</v>
      </c>
      <c r="G68" s="197">
        <v>0</v>
      </c>
      <c r="H68" s="446">
        <f t="shared" si="1"/>
        <v>2</v>
      </c>
      <c r="I68" s="447">
        <f>L$15+M$15</f>
        <v>5.8</v>
      </c>
      <c r="J68" s="447">
        <f t="shared" si="2"/>
        <v>232.94693877551018</v>
      </c>
      <c r="K68" s="447">
        <f>SUMPRODUCT($E$15:$E$17,$L$16:$L$18)+SUMPRODUCT($E$30:$E$32,$M$16:$M$18)</f>
        <v>15</v>
      </c>
      <c r="L68" s="448">
        <f t="shared" si="3"/>
        <v>247.94693877551018</v>
      </c>
      <c r="M68" s="449">
        <f>SUMPRODUCT($C$15:$C$17,$L$16:$L$18)+SUMPRODUCT($C$30:$C$32,$M$16:$M$18)</f>
        <v>7</v>
      </c>
      <c r="N68" s="104">
        <f>SUMPRODUCT($D$15:$D$17,$L$16:$L$18)</f>
        <v>26.099999999999998</v>
      </c>
      <c r="O68" s="104">
        <f>SUMPRODUCT($D$30:$D$32,$M$16:$M$18)</f>
        <v>14</v>
      </c>
      <c r="P68" s="104">
        <v>0</v>
      </c>
      <c r="Q68" s="450">
        <f t="shared" si="16"/>
        <v>18.82853150817915</v>
      </c>
      <c r="R68" s="1310">
        <f>(L$15+1-$J$15)*$O$2+C68*25</f>
        <v>145.48979591836735</v>
      </c>
      <c r="S68" s="1310">
        <f>(I68+1-$J$15)*$O$2+C68*$E$15+D68*$O$3</f>
        <v>292.04489795918369</v>
      </c>
      <c r="T68" s="1310">
        <v>0</v>
      </c>
      <c r="U68" s="451">
        <f t="shared" si="13"/>
        <v>1</v>
      </c>
      <c r="V68" s="451">
        <f t="shared" si="4"/>
        <v>0.74355241107987491</v>
      </c>
      <c r="W68" s="451">
        <v>0</v>
      </c>
      <c r="X68" s="452">
        <f t="shared" si="5"/>
        <v>1</v>
      </c>
      <c r="Y68" s="447">
        <f t="shared" si="6"/>
        <v>5545.5059224602228</v>
      </c>
      <c r="Z68" s="447">
        <f t="shared" si="14"/>
        <v>3343.5530308725415</v>
      </c>
      <c r="AA68" s="447">
        <f>SUMPRODUCT($F$30:$F$32,$M$16:$M$18)*MIN(Q68/O68,1)*X68</f>
        <v>1462.7610770499225</v>
      </c>
      <c r="AB68" s="447">
        <v>0</v>
      </c>
      <c r="AC68" s="447">
        <v>0</v>
      </c>
      <c r="AD68" s="447">
        <v>0</v>
      </c>
      <c r="AE68" s="447">
        <v>0</v>
      </c>
      <c r="AF68" s="448">
        <f t="shared" si="7"/>
        <v>10351.820030382687</v>
      </c>
      <c r="AG68" s="453">
        <f t="shared" si="8"/>
        <v>549.79433876114217</v>
      </c>
      <c r="AH68" s="454">
        <f t="shared" si="15"/>
        <v>7.2714684918208476</v>
      </c>
      <c r="AI68" s="104">
        <f t="shared" si="9"/>
        <v>-4.8285315081791502</v>
      </c>
      <c r="AJ68" s="455">
        <v>0</v>
      </c>
      <c r="AK68" s="456" t="str">
        <f>IF(instatk="Mut","3-5s/4-5r",IF(Sealfate&gt;0,"3-4s/4-5r","3s/4r"))</f>
        <v>3s/4r</v>
      </c>
      <c r="AL68">
        <f>IF(AND(OR(allowrupt,NOT(D68)),OR(AND(poison,allowenv),NOT(F68)),$X$2-AG68&lt;50),MAX($AL$55:$AL67)+1,"")</f>
        <v>8</v>
      </c>
      <c r="AO68">
        <f t="shared" si="12"/>
        <v>13</v>
      </c>
      <c r="AP68" t="str">
        <f t="shared" si="10"/>
        <v>3s/5r</v>
      </c>
      <c r="AQ68" t="b">
        <v>1</v>
      </c>
    </row>
    <row r="69" spans="2:43">
      <c r="B69" t="s">
        <v>194</v>
      </c>
      <c r="C69" s="445">
        <v>1</v>
      </c>
      <c r="D69" s="64">
        <v>1</v>
      </c>
      <c r="E69" s="64">
        <v>0</v>
      </c>
      <c r="F69" s="197">
        <v>0</v>
      </c>
      <c r="G69" s="197">
        <v>0</v>
      </c>
      <c r="H69" s="446">
        <f t="shared" si="1"/>
        <v>2</v>
      </c>
      <c r="I69" s="447">
        <f>M$15+M$15</f>
        <v>6.8</v>
      </c>
      <c r="J69" s="447">
        <f t="shared" si="2"/>
        <v>273.11020408163262</v>
      </c>
      <c r="K69" s="447">
        <f>SUMPRODUCT($E$16:$E$18,$M$16:$M$18)+SUMPRODUCT($E$30:$E$32,$M$16:$M$18)</f>
        <v>10</v>
      </c>
      <c r="L69" s="448">
        <f t="shared" si="3"/>
        <v>283.11020408163262</v>
      </c>
      <c r="M69" s="449">
        <f>SUMPRODUCT($C$16:$C$18,$M$16:$M$18)+SUMPRODUCT($C$30:$C$32,$M$16:$M$18)</f>
        <v>8</v>
      </c>
      <c r="N69" s="104">
        <f>SUMPRODUCT($D$16:$D$18,$M$16:$M$18)</f>
        <v>30.45</v>
      </c>
      <c r="O69" s="104">
        <f>SUMPRODUCT($D$30:$D$32,$M$16:$M$18)</f>
        <v>14</v>
      </c>
      <c r="P69" s="104">
        <v>0</v>
      </c>
      <c r="Q69" s="450">
        <f>IF(N69&gt;L69/sndeps,L69/sndeps,N69+(L69/sndeps-N69)*sndeps/eps)</f>
        <v>21.49875059624874</v>
      </c>
      <c r="R69" s="1310">
        <f>(M$15+1-$J$15)*$O$2+C69*25</f>
        <v>185.65306122448979</v>
      </c>
      <c r="S69" s="1310">
        <f>(I69+1-$J$15)*$O$2+C69*$E$16+D69*$O$3</f>
        <v>327.2081632653061</v>
      </c>
      <c r="T69" s="1310">
        <v>0</v>
      </c>
      <c r="U69" s="451">
        <f t="shared" si="13"/>
        <v>1</v>
      </c>
      <c r="V69" s="451">
        <f t="shared" si="4"/>
        <v>0.65120063314017995</v>
      </c>
      <c r="W69" s="451">
        <v>0</v>
      </c>
      <c r="X69" s="452">
        <f t="shared" si="5"/>
        <v>1</v>
      </c>
      <c r="Y69" s="447">
        <f t="shared" si="6"/>
        <v>6501.6276332292264</v>
      </c>
      <c r="Z69" s="447">
        <f t="shared" si="14"/>
        <v>3817.7280413416506</v>
      </c>
      <c r="AA69" s="447">
        <f>SUMPRODUCT($F$30:$F$32,$M$16:$M$18)*MIN(Q69/O69,1)*X69</f>
        <v>1462.7610770499225</v>
      </c>
      <c r="AB69" s="447">
        <v>0</v>
      </c>
      <c r="AC69" s="447">
        <v>0</v>
      </c>
      <c r="AD69" s="447">
        <v>0</v>
      </c>
      <c r="AE69" s="447">
        <v>0</v>
      </c>
      <c r="AF69" s="448">
        <f t="shared" si="7"/>
        <v>11782.116751620801</v>
      </c>
      <c r="AG69" s="453">
        <f t="shared" si="8"/>
        <v>548.03727774192748</v>
      </c>
      <c r="AH69" s="454">
        <f t="shared" si="15"/>
        <v>8.9512494037512589</v>
      </c>
      <c r="AI69" s="104">
        <f t="shared" si="9"/>
        <v>-7.4987505962487404</v>
      </c>
      <c r="AJ69" s="455">
        <v>0</v>
      </c>
      <c r="AK69" s="456" t="str">
        <f>IF(instatk="Mut","4-5s/4-5r",IF(Sealfate&gt;0,"4-5s/4-5r","4s/4r"))</f>
        <v>4s/4r</v>
      </c>
      <c r="AL69">
        <f>IF(AND(OR(allowrupt,NOT(D69)),OR(AND(poison,allowenv),NOT(F69)),$X$2-AG69&lt;50),MAX($AL$55:$AL68)+1,"")</f>
        <v>9</v>
      </c>
      <c r="AO69">
        <f t="shared" si="12"/>
        <v>14</v>
      </c>
      <c r="AP69" t="str">
        <f t="shared" si="10"/>
        <v>4s/5r</v>
      </c>
      <c r="AQ69" t="b">
        <v>1</v>
      </c>
    </row>
    <row r="70" spans="2:43">
      <c r="B70" t="s">
        <v>2257</v>
      </c>
      <c r="C70" s="445">
        <v>1</v>
      </c>
      <c r="D70" s="64">
        <v>1</v>
      </c>
      <c r="E70" s="64">
        <v>0</v>
      </c>
      <c r="F70" s="197">
        <v>0</v>
      </c>
      <c r="G70" s="197">
        <v>0</v>
      </c>
      <c r="H70" s="446">
        <f t="shared" si="1"/>
        <v>2</v>
      </c>
      <c r="I70" s="447">
        <f>N$15+M$15</f>
        <v>7.8000000000000007</v>
      </c>
      <c r="J70" s="447">
        <f t="shared" si="2"/>
        <v>313.27346938775514</v>
      </c>
      <c r="K70" s="447">
        <f>SUMPRODUCT($E$17:$E$19,$N$16:$N$18)+SUMPRODUCT($E$30:$E$32,$M$16:$M$18)</f>
        <v>5</v>
      </c>
      <c r="L70" s="448">
        <f t="shared" si="3"/>
        <v>318.27346938775514</v>
      </c>
      <c r="M70" s="449">
        <f>SUMPRODUCT($C$17:$C$19,$N$16:$N$18)+SUMPRODUCT($C$30:$C$32,$M$16:$M$18)</f>
        <v>9</v>
      </c>
      <c r="N70" s="104">
        <f>SUMPRODUCT($D$17:$D$19,$N$16:$N$18)</f>
        <v>34.799999999999997</v>
      </c>
      <c r="O70" s="104">
        <f>SUMPRODUCT($D$30:$D$32,$M$16:$M$18)</f>
        <v>14</v>
      </c>
      <c r="P70" s="104">
        <v>0</v>
      </c>
      <c r="Q70" s="450">
        <f t="shared" si="16"/>
        <v>24.168969684318338</v>
      </c>
      <c r="R70" s="1310">
        <f>(N$15+1-$J$15)*$O$2+C70*25</f>
        <v>225.81632653061223</v>
      </c>
      <c r="S70" s="1310">
        <f>(I70+1-$J$15)*$O$2+C70*$E$17+D70*$O$3</f>
        <v>362.37142857142857</v>
      </c>
      <c r="T70" s="1310">
        <v>0</v>
      </c>
      <c r="U70" s="451">
        <f t="shared" si="13"/>
        <v>1</v>
      </c>
      <c r="V70" s="451">
        <f t="shared" si="4"/>
        <v>0.57925514338675688</v>
      </c>
      <c r="W70" s="451">
        <v>0</v>
      </c>
      <c r="X70" s="452">
        <f t="shared" si="5"/>
        <v>1</v>
      </c>
      <c r="Y70" s="447">
        <f t="shared" si="6"/>
        <v>7457.7493439982318</v>
      </c>
      <c r="Z70" s="447">
        <f t="shared" si="14"/>
        <v>4291.9030518107611</v>
      </c>
      <c r="AA70" s="447">
        <f>SUMPRODUCT($F$30:$F$32,$M$16:$M$18)*MIN(Q70/O70,1)*X70</f>
        <v>1462.7610770499225</v>
      </c>
      <c r="AB70" s="447">
        <v>0</v>
      </c>
      <c r="AC70" s="447">
        <v>0</v>
      </c>
      <c r="AD70" s="447">
        <v>0</v>
      </c>
      <c r="AE70" s="447">
        <v>0</v>
      </c>
      <c r="AF70" s="448">
        <f t="shared" si="7"/>
        <v>13212.413472858916</v>
      </c>
      <c r="AG70" s="453">
        <f t="shared" si="8"/>
        <v>546.66846147900071</v>
      </c>
      <c r="AH70" s="454">
        <f t="shared" si="15"/>
        <v>10.631030315681659</v>
      </c>
      <c r="AI70" s="104">
        <f t="shared" si="9"/>
        <v>-10.168969684318338</v>
      </c>
      <c r="AJ70" s="455">
        <v>0</v>
      </c>
      <c r="AK70" s="456"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5">
        <v>1</v>
      </c>
      <c r="D71" s="64">
        <v>1</v>
      </c>
      <c r="E71" s="64">
        <v>0</v>
      </c>
      <c r="F71" s="197">
        <v>0</v>
      </c>
      <c r="G71" s="197">
        <v>0</v>
      </c>
      <c r="H71" s="446">
        <f t="shared" si="1"/>
        <v>2</v>
      </c>
      <c r="I71" s="447">
        <f>J$15+N$15</f>
        <v>4.8000000000000007</v>
      </c>
      <c r="J71" s="447">
        <f t="shared" si="2"/>
        <v>192.78367346938776</v>
      </c>
      <c r="K71" s="447">
        <f>SUMPRODUCT($E$13:$E$15,$J$16:$J$18)+SUMPRODUCT($E$31:$E$33,$N$16:$N$18)</f>
        <v>20</v>
      </c>
      <c r="L71" s="448">
        <f t="shared" si="3"/>
        <v>212.78367346938776</v>
      </c>
      <c r="M71" s="449">
        <f>SUMPRODUCT($C$13:$C$15,$J$16:$J$18)+SUMPRODUCT($C$31:$C$33,$N$16:$N$18)</f>
        <v>6</v>
      </c>
      <c r="N71" s="104">
        <f>SUMPRODUCT($D$13:$D$15,$J$16:$J$18)</f>
        <v>17.399999999999999</v>
      </c>
      <c r="O71" s="104">
        <f>SUMPRODUCT($D$31:$D$33,$N$16:$N$18)</f>
        <v>16</v>
      </c>
      <c r="P71" s="104">
        <v>0</v>
      </c>
      <c r="Q71" s="450">
        <f t="shared" si="16"/>
        <v>16.158312420109564</v>
      </c>
      <c r="R71" s="1310">
        <f>(J$15+1-$J$15)*$O$2+C71*25</f>
        <v>65.16326530612244</v>
      </c>
      <c r="S71" s="1310">
        <f>(I71+1-$J$15)*$O$2+C71*$E$13+D71*$O$3</f>
        <v>261.88163265306122</v>
      </c>
      <c r="T71" s="1310">
        <v>0</v>
      </c>
      <c r="U71" s="451">
        <f t="shared" si="13"/>
        <v>1</v>
      </c>
      <c r="V71" s="451">
        <f t="shared" si="4"/>
        <v>0.99020241619338056</v>
      </c>
      <c r="W71" s="451">
        <v>0</v>
      </c>
      <c r="X71" s="452">
        <f t="shared" si="5"/>
        <v>1</v>
      </c>
      <c r="Y71" s="447">
        <f t="shared" si="6"/>
        <v>4589.3842116912201</v>
      </c>
      <c r="Z71" s="447">
        <f t="shared" si="14"/>
        <v>2869.3780204034333</v>
      </c>
      <c r="AA71" s="447">
        <f>SUMPRODUCT($F$31:$F$33,$N$16:$N$18)*MIN(Q71/O71,1)*X71</f>
        <v>1759.7269451999114</v>
      </c>
      <c r="AB71" s="447">
        <v>0</v>
      </c>
      <c r="AC71" s="447">
        <v>0</v>
      </c>
      <c r="AD71" s="447">
        <v>0</v>
      </c>
      <c r="AE71" s="447">
        <v>0</v>
      </c>
      <c r="AF71" s="448">
        <f t="shared" si="7"/>
        <v>9218.4891772945648</v>
      </c>
      <c r="AG71" s="453">
        <f t="shared" si="8"/>
        <v>570.51064106310048</v>
      </c>
      <c r="AH71" s="454">
        <f t="shared" si="15"/>
        <v>1.241687579890435</v>
      </c>
      <c r="AI71" s="104">
        <f t="shared" si="9"/>
        <v>-0.15831242010956359</v>
      </c>
      <c r="AJ71" s="455">
        <v>0</v>
      </c>
      <c r="AK71" s="456"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5">
        <v>1</v>
      </c>
      <c r="D72" s="64">
        <v>1</v>
      </c>
      <c r="E72" s="64">
        <v>0</v>
      </c>
      <c r="F72" s="197">
        <v>0</v>
      </c>
      <c r="G72" s="197">
        <v>0</v>
      </c>
      <c r="H72" s="446">
        <f t="shared" si="1"/>
        <v>2</v>
      </c>
      <c r="I72" s="447">
        <f>K$15+N$15</f>
        <v>5.8000000000000007</v>
      </c>
      <c r="J72" s="447">
        <f t="shared" si="2"/>
        <v>232.94693877551023</v>
      </c>
      <c r="K72" s="447">
        <f>SUMPRODUCT($E$14:$E$16,$K$16:$K$18)+SUMPRODUCT($E$31:$E$33,$N$16:$N$18)</f>
        <v>15</v>
      </c>
      <c r="L72" s="448">
        <f t="shared" si="3"/>
        <v>247.94693877551023</v>
      </c>
      <c r="M72" s="449">
        <f>SUMPRODUCT($C$14:$C$16,$K$16:$K$18)+SUMPRODUCT($C$31:$C$33,$N$16:$N$18)</f>
        <v>7</v>
      </c>
      <c r="N72" s="104">
        <f>SUMPRODUCT($D$14:$D$16,$K$16:$K$18)</f>
        <v>21.75</v>
      </c>
      <c r="O72" s="104">
        <f>SUMPRODUCT($D$31:$D$33,$N$16:$N$18)</f>
        <v>16</v>
      </c>
      <c r="P72" s="104">
        <v>0</v>
      </c>
      <c r="Q72" s="450">
        <f t="shared" si="16"/>
        <v>18.828531508179157</v>
      </c>
      <c r="R72" s="1310">
        <f>(K$15+1-$J$15)*$O$2+C72*25</f>
        <v>105.32653061224489</v>
      </c>
      <c r="S72" s="1310">
        <f>(I72+1-$J$15)*$O$2+C72*$E$14+D72*$O$3</f>
        <v>297.04489795918369</v>
      </c>
      <c r="T72" s="1310">
        <v>0</v>
      </c>
      <c r="U72" s="451">
        <f t="shared" si="13"/>
        <v>1</v>
      </c>
      <c r="V72" s="451">
        <f t="shared" si="4"/>
        <v>0.84977418409128525</v>
      </c>
      <c r="W72" s="451">
        <v>0</v>
      </c>
      <c r="X72" s="452">
        <f t="shared" si="5"/>
        <v>1</v>
      </c>
      <c r="Y72" s="447">
        <f t="shared" si="6"/>
        <v>5545.5059224602237</v>
      </c>
      <c r="Z72" s="447">
        <f t="shared" si="14"/>
        <v>3343.5530308725429</v>
      </c>
      <c r="AA72" s="447">
        <f>SUMPRODUCT($F$31:$F$33,$N$16:$N$18)*MIN(Q72/O72,1)*X72</f>
        <v>1759.7269451999114</v>
      </c>
      <c r="AB72" s="447">
        <v>0</v>
      </c>
      <c r="AC72" s="447">
        <v>0</v>
      </c>
      <c r="AD72" s="447">
        <v>0</v>
      </c>
      <c r="AE72" s="447">
        <v>0</v>
      </c>
      <c r="AF72" s="448">
        <f t="shared" si="7"/>
        <v>10648.785898532677</v>
      </c>
      <c r="AG72" s="453">
        <f t="shared" si="8"/>
        <v>565.56645928052433</v>
      </c>
      <c r="AH72" s="454">
        <f t="shared" si="15"/>
        <v>2.9214684918208427</v>
      </c>
      <c r="AI72" s="104">
        <f t="shared" si="9"/>
        <v>-2.8285315081791573</v>
      </c>
      <c r="AJ72" s="455">
        <v>0</v>
      </c>
      <c r="AK72" s="456"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5">
        <v>1</v>
      </c>
      <c r="D73" s="64">
        <v>1</v>
      </c>
      <c r="E73" s="64">
        <v>0</v>
      </c>
      <c r="F73" s="197">
        <v>0</v>
      </c>
      <c r="G73" s="197">
        <v>0</v>
      </c>
      <c r="H73" s="446">
        <f t="shared" si="1"/>
        <v>2</v>
      </c>
      <c r="I73" s="447">
        <f>L$15+N$15</f>
        <v>6.8000000000000007</v>
      </c>
      <c r="J73" s="447">
        <f t="shared" si="2"/>
        <v>273.11020408163267</v>
      </c>
      <c r="K73" s="447">
        <f>SUMPRODUCT($E$15:$E$17,$L$16:$L$18)+SUMPRODUCT($E$31:$E$33,$N$16:$N$18)</f>
        <v>10</v>
      </c>
      <c r="L73" s="448">
        <f t="shared" si="3"/>
        <v>283.11020408163267</v>
      </c>
      <c r="M73" s="449">
        <f>SUMPRODUCT($C$15:$C$17,$L$16:$L$18)+SUMPRODUCT($C$31:$C$33,$N$16:$N$18)</f>
        <v>8</v>
      </c>
      <c r="N73" s="104">
        <f>SUMPRODUCT($D$15:$D$17,$L$16:$L$18)</f>
        <v>26.099999999999998</v>
      </c>
      <c r="O73" s="104">
        <f>SUMPRODUCT($D$31:$D$33,$N$16:$N$18)</f>
        <v>16</v>
      </c>
      <c r="P73" s="104">
        <v>0</v>
      </c>
      <c r="Q73" s="450">
        <f t="shared" si="16"/>
        <v>21.498750596248744</v>
      </c>
      <c r="R73" s="1310">
        <f>(L$15+1-$J$15)*$O$2+C73*25</f>
        <v>145.48979591836735</v>
      </c>
      <c r="S73" s="1310">
        <f>(I73+1-$J$15)*$O$2+C73*$E$15+D73*$O$3</f>
        <v>332.2081632653061</v>
      </c>
      <c r="T73" s="1310">
        <v>0</v>
      </c>
      <c r="U73" s="451">
        <f t="shared" si="13"/>
        <v>1</v>
      </c>
      <c r="V73" s="451">
        <f t="shared" si="4"/>
        <v>0.74422929501734836</v>
      </c>
      <c r="W73" s="451">
        <v>0</v>
      </c>
      <c r="X73" s="452">
        <f t="shared" si="5"/>
        <v>1</v>
      </c>
      <c r="Y73" s="447">
        <f t="shared" si="6"/>
        <v>6501.6276332292282</v>
      </c>
      <c r="Z73" s="447">
        <f t="shared" si="14"/>
        <v>3817.7280413416511</v>
      </c>
      <c r="AA73" s="447">
        <f>SUMPRODUCT($F$31:$F$33,$N$16:$N$18)*MIN(Q73/O73,1)*X73</f>
        <v>1759.7269451999114</v>
      </c>
      <c r="AB73" s="447">
        <v>0</v>
      </c>
      <c r="AC73" s="447">
        <v>0</v>
      </c>
      <c r="AD73" s="447">
        <v>0</v>
      </c>
      <c r="AE73" s="447">
        <v>0</v>
      </c>
      <c r="AF73" s="448">
        <f t="shared" si="7"/>
        <v>12079.08261977079</v>
      </c>
      <c r="AG73" s="453">
        <f t="shared" si="8"/>
        <v>561.85044641052002</v>
      </c>
      <c r="AH73" s="454">
        <f t="shared" si="15"/>
        <v>4.6012494037512539</v>
      </c>
      <c r="AI73" s="104">
        <f t="shared" si="9"/>
        <v>-5.498750596248744</v>
      </c>
      <c r="AJ73" s="455">
        <v>0</v>
      </c>
      <c r="AK73" s="456"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5">
        <v>1</v>
      </c>
      <c r="D74" s="64">
        <v>1</v>
      </c>
      <c r="E74" s="64">
        <v>0</v>
      </c>
      <c r="F74" s="197">
        <v>0</v>
      </c>
      <c r="G74" s="197">
        <v>0</v>
      </c>
      <c r="H74" s="446">
        <f t="shared" si="1"/>
        <v>2</v>
      </c>
      <c r="I74" s="447">
        <f>M$15+N$15</f>
        <v>7.8000000000000007</v>
      </c>
      <c r="J74" s="447">
        <f t="shared" si="2"/>
        <v>313.27346938775514</v>
      </c>
      <c r="K74" s="447">
        <f>SUMPRODUCT($E$16:$E$18,$M$16:$M$18)+SUMPRODUCT($E$31:$E$33,$N$16:$N$18)</f>
        <v>5</v>
      </c>
      <c r="L74" s="448">
        <f t="shared" si="3"/>
        <v>318.27346938775514</v>
      </c>
      <c r="M74" s="449">
        <f>SUMPRODUCT($C$16:$C$18,$M$16:$M$18)+SUMPRODUCT($C$31:$C$33,$N$16:$N$18)</f>
        <v>9</v>
      </c>
      <c r="N74" s="104">
        <f>SUMPRODUCT($D$16:$D$18,$M$16:$M$18)</f>
        <v>30.45</v>
      </c>
      <c r="O74" s="104">
        <f>SUMPRODUCT($D$31:$D$33,$N$16:$N$18)</f>
        <v>16</v>
      </c>
      <c r="P74" s="104">
        <v>0</v>
      </c>
      <c r="Q74" s="450">
        <f t="shared" si="16"/>
        <v>24.168969684318338</v>
      </c>
      <c r="R74" s="1310">
        <f>(M$15+1-$J$15)*$O$2+C74*25</f>
        <v>185.65306122448979</v>
      </c>
      <c r="S74" s="1310">
        <f>(I74+1-$J$15)*$O$2+C74*$E$16+D74*$O$3</f>
        <v>367.37142857142857</v>
      </c>
      <c r="T74" s="1310">
        <v>0</v>
      </c>
      <c r="U74" s="451">
        <f t="shared" si="13"/>
        <v>1</v>
      </c>
      <c r="V74" s="451">
        <f t="shared" si="4"/>
        <v>0.66200587815629364</v>
      </c>
      <c r="W74" s="451">
        <v>0</v>
      </c>
      <c r="X74" s="452">
        <f t="shared" si="5"/>
        <v>1</v>
      </c>
      <c r="Y74" s="447">
        <f t="shared" si="6"/>
        <v>7457.7493439982318</v>
      </c>
      <c r="Z74" s="447">
        <f t="shared" si="14"/>
        <v>4291.9030518107611</v>
      </c>
      <c r="AA74" s="447">
        <f>SUMPRODUCT($F$31:$F$33,$N$16:$N$18)*MIN(Q74/O74,1)*X74</f>
        <v>1759.7269451999114</v>
      </c>
      <c r="AB74" s="447">
        <v>0</v>
      </c>
      <c r="AC74" s="447">
        <v>0</v>
      </c>
      <c r="AD74" s="447">
        <v>0</v>
      </c>
      <c r="AE74" s="447">
        <v>0</v>
      </c>
      <c r="AF74" s="448">
        <f t="shared" si="7"/>
        <v>13509.379341008904</v>
      </c>
      <c r="AG74" s="453">
        <f t="shared" si="8"/>
        <v>558.95553337444312</v>
      </c>
      <c r="AH74" s="454">
        <f t="shared" si="15"/>
        <v>6.2810303156816616</v>
      </c>
      <c r="AI74" s="104">
        <f t="shared" si="9"/>
        <v>-8.1689696843183377</v>
      </c>
      <c r="AJ74" s="455">
        <v>0</v>
      </c>
      <c r="AK74" s="456"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5">
        <v>1</v>
      </c>
      <c r="D75" s="64">
        <v>1</v>
      </c>
      <c r="E75" s="64">
        <v>0</v>
      </c>
      <c r="F75" s="197">
        <v>0</v>
      </c>
      <c r="G75" s="197">
        <v>0</v>
      </c>
      <c r="H75" s="446">
        <f t="shared" si="1"/>
        <v>2</v>
      </c>
      <c r="I75" s="447">
        <f>N$15+N$15</f>
        <v>8.8000000000000007</v>
      </c>
      <c r="J75" s="447">
        <f t="shared" si="2"/>
        <v>353.43673469387755</v>
      </c>
      <c r="K75" s="447">
        <f>SUMPRODUCT($E$17:$E$19,$N$16:$N$18)+SUMPRODUCT($E$31:$E$33,$N$16:$N$18)</f>
        <v>0</v>
      </c>
      <c r="L75" s="448">
        <f t="shared" si="3"/>
        <v>353.43673469387755</v>
      </c>
      <c r="M75" s="449">
        <f>SUMPRODUCT($C$17:$C$19,$N$16:$N$18)+SUMPRODUCT($C$31:$C$33,$N$16:$N$18)</f>
        <v>10</v>
      </c>
      <c r="N75" s="104">
        <f>SUMPRODUCT($D$17:$D$19,$N$16:$N$18)</f>
        <v>34.799999999999997</v>
      </c>
      <c r="O75" s="104">
        <f>SUMPRODUCT($D$31:$D$33,$N$16:$N$18)</f>
        <v>16</v>
      </c>
      <c r="P75" s="104">
        <v>0</v>
      </c>
      <c r="Q75" s="450">
        <f t="shared" si="16"/>
        <v>26.839188772387924</v>
      </c>
      <c r="R75" s="1310">
        <f>(N$15+1-$J$15)*$O$2+C75*25</f>
        <v>225.81632653061223</v>
      </c>
      <c r="S75" s="1310">
        <f>(I75+1-$J$15)*$O$2+C75*$E$17+D75*$O$3</f>
        <v>402.53469387755104</v>
      </c>
      <c r="T75" s="1310">
        <v>0</v>
      </c>
      <c r="U75" s="451">
        <f t="shared" si="13"/>
        <v>1</v>
      </c>
      <c r="V75" s="451">
        <f t="shared" si="4"/>
        <v>0.5961432044645385</v>
      </c>
      <c r="W75" s="451">
        <v>0</v>
      </c>
      <c r="X75" s="452">
        <f t="shared" si="5"/>
        <v>1</v>
      </c>
      <c r="Y75" s="447">
        <f t="shared" si="6"/>
        <v>8413.8710547672363</v>
      </c>
      <c r="Z75" s="447">
        <f t="shared" si="14"/>
        <v>4766.0780622798693</v>
      </c>
      <c r="AA75" s="447">
        <f>SUMPRODUCT($F$31:$F$33,$N$16:$N$18)*MIN(Q75/O75,1)*X75</f>
        <v>1759.7269451999114</v>
      </c>
      <c r="AB75" s="447">
        <v>0</v>
      </c>
      <c r="AC75" s="447">
        <v>0</v>
      </c>
      <c r="AD75" s="447">
        <v>0</v>
      </c>
      <c r="AE75" s="447">
        <v>0</v>
      </c>
      <c r="AF75" s="448">
        <f t="shared" si="7"/>
        <v>14939.676062247016</v>
      </c>
      <c r="AG75" s="453">
        <f t="shared" si="8"/>
        <v>556.63664758813081</v>
      </c>
      <c r="AH75" s="454">
        <f t="shared" si="15"/>
        <v>7.9608112276120728</v>
      </c>
      <c r="AI75" s="104">
        <f t="shared" si="9"/>
        <v>-10.839188772387924</v>
      </c>
      <c r="AJ75" s="455">
        <v>0</v>
      </c>
      <c r="AK75" s="456"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5">
        <v>2</v>
      </c>
      <c r="D76">
        <v>1</v>
      </c>
      <c r="E76" s="64">
        <v>0</v>
      </c>
      <c r="F76" s="197">
        <v>0</v>
      </c>
      <c r="G76" s="197">
        <v>0</v>
      </c>
      <c r="H76" s="446">
        <f t="shared" si="1"/>
        <v>3</v>
      </c>
      <c r="I76" s="447">
        <f>J$15+M$15+L$15</f>
        <v>6.1999999999999993</v>
      </c>
      <c r="J76" s="447">
        <f t="shared" si="2"/>
        <v>249.01224489795914</v>
      </c>
      <c r="K76" s="94">
        <f>SUMPRODUCT($E$13:$E$15,$J$16:$J$18)+SUMPRODUCT($E$16:$E$18,$M$16:$M$18)+SUMPRODUCT($E$29:$E$31,$L$16:$L$18)</f>
        <v>35</v>
      </c>
      <c r="L76" s="448">
        <f t="shared" si="3"/>
        <v>284.01224489795914</v>
      </c>
      <c r="M76" s="457">
        <f>SUMPRODUCT($C$13:$C$15,$J$16:$J$18)+SUMPRODUCT($C$16:$C$18,$M$16:$M$18)+SUMPRODUCT($C$29:$C$31,$L$16:$L$18)</f>
        <v>8</v>
      </c>
      <c r="N76" s="104">
        <f>SUMPRODUCT($D$13:$D$15,$J$16:$J$18)+SUMPRODUCT($D$16:$D$18,$M$16:$M$18)</f>
        <v>47.849999999999994</v>
      </c>
      <c r="O76" s="104">
        <f>SUMPRODUCT($D$29:$D$31,$L$16:$L$18)</f>
        <v>12</v>
      </c>
      <c r="P76" s="104">
        <v>0</v>
      </c>
      <c r="Q76" s="450">
        <f t="shared" si="16"/>
        <v>21.56724954209475</v>
      </c>
      <c r="R76" s="1310">
        <f>(J$15+1-$J$15)*$O$2+25</f>
        <v>65.16326530612244</v>
      </c>
      <c r="S76" s="1310">
        <f>(I76+1-$J$15)*$O$2+$E$13+$E$16+D76*$O$3</f>
        <v>323.11020408163262</v>
      </c>
      <c r="T76" s="1310">
        <v>0</v>
      </c>
      <c r="U76" s="451">
        <f t="shared" si="13"/>
        <v>1</v>
      </c>
      <c r="V76" s="451">
        <f t="shared" si="4"/>
        <v>0.5563991818510986</v>
      </c>
      <c r="W76" s="451">
        <v>0</v>
      </c>
      <c r="X76" s="452">
        <f t="shared" si="5"/>
        <v>1</v>
      </c>
      <c r="Y76" s="447">
        <f t="shared" si="6"/>
        <v>5927.9546067678239</v>
      </c>
      <c r="Z76" s="447">
        <f t="shared" si="14"/>
        <v>3829.8920201360402</v>
      </c>
      <c r="AA76" s="447">
        <f>SUMPRODUCT($F$29:$F$31,$L$16:$L$18)*MIN(Q76/O76,1)*X76</f>
        <v>1187.7952088999336</v>
      </c>
      <c r="AB76" s="447">
        <v>0</v>
      </c>
      <c r="AC76" s="447">
        <v>0</v>
      </c>
      <c r="AD76" s="447">
        <v>0</v>
      </c>
      <c r="AE76" s="447">
        <v>0</v>
      </c>
      <c r="AF76" s="448">
        <f t="shared" si="7"/>
        <v>10945.641835803797</v>
      </c>
      <c r="AG76" s="453">
        <f t="shared" si="8"/>
        <v>507.51218018969917</v>
      </c>
      <c r="AH76" s="454">
        <f t="shared" si="15"/>
        <v>26.282750457905244</v>
      </c>
      <c r="AI76" s="104">
        <f t="shared" si="9"/>
        <v>-9.5672495420947499</v>
      </c>
      <c r="AJ76" s="455">
        <v>0</v>
      </c>
      <c r="AK76" s="456"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5">
        <v>2</v>
      </c>
      <c r="D77">
        <v>1</v>
      </c>
      <c r="E77" s="64">
        <v>0</v>
      </c>
      <c r="F77" s="197">
        <v>0</v>
      </c>
      <c r="G77" s="197">
        <v>0</v>
      </c>
      <c r="H77" s="446">
        <f t="shared" si="1"/>
        <v>3</v>
      </c>
      <c r="I77" s="447">
        <f>K$15+M$15+L$15</f>
        <v>7.1999999999999993</v>
      </c>
      <c r="J77" s="447">
        <f t="shared" si="2"/>
        <v>289.1755102040816</v>
      </c>
      <c r="K77" s="94">
        <f>SUMPRODUCT($E$14:$E$16,$K$16:$K$18)+SUMPRODUCT($E$16:$E$18,$M$16:$M$18)+SUMPRODUCT($E$29:$E$31,$L$16:$L$18)</f>
        <v>30</v>
      </c>
      <c r="L77" s="448">
        <f t="shared" si="3"/>
        <v>319.1755102040816</v>
      </c>
      <c r="M77" s="457">
        <f>SUMPRODUCT($C$14:$C$16,$K$16:$K$18)+SUMPRODUCT($C$16:$C$18,$M$16:$M$18)+SUMPRODUCT($C$29:$C$31,$L$16:$L$18)</f>
        <v>9</v>
      </c>
      <c r="N77" s="104">
        <f>SUMPRODUCT($D$14:$D$16,$K$16:$K$18)+SUMPRODUCT($D$16:$D$18,$M$16:$M$18)</f>
        <v>52.2</v>
      </c>
      <c r="O77" s="104">
        <f>SUMPRODUCT($D$29:$D$31,$L$16:$L$18)</f>
        <v>12</v>
      </c>
      <c r="P77" s="104">
        <v>0</v>
      </c>
      <c r="Q77" s="450">
        <f t="shared" si="16"/>
        <v>24.237468630164344</v>
      </c>
      <c r="R77" s="1310">
        <f>(K$15+1-$J$15)*$O$2+25</f>
        <v>105.32653061224489</v>
      </c>
      <c r="S77" s="1310">
        <f>(I77+1-$J$15)*$O$2+$E$14+$E$16+D77*$O$3</f>
        <v>358.27346938775503</v>
      </c>
      <c r="T77" s="1310">
        <v>0</v>
      </c>
      <c r="U77" s="451">
        <f t="shared" si="13"/>
        <v>1</v>
      </c>
      <c r="V77" s="451">
        <f t="shared" si="4"/>
        <v>0.49510120809669028</v>
      </c>
      <c r="W77" s="451">
        <v>0</v>
      </c>
      <c r="X77" s="452">
        <f t="shared" si="5"/>
        <v>1</v>
      </c>
      <c r="Y77" s="447">
        <f t="shared" si="6"/>
        <v>6884.0763175368284</v>
      </c>
      <c r="Z77" s="447">
        <f t="shared" si="14"/>
        <v>4304.0670306051506</v>
      </c>
      <c r="AA77" s="447">
        <f>SUMPRODUCT($F$29:$F$31,$L$16:$L$18)*MIN(Q77/O77,1)*X77</f>
        <v>1187.7952088999336</v>
      </c>
      <c r="AB77" s="447">
        <v>0</v>
      </c>
      <c r="AC77" s="447">
        <v>0</v>
      </c>
      <c r="AD77" s="447">
        <v>0</v>
      </c>
      <c r="AE77" s="447">
        <v>0</v>
      </c>
      <c r="AF77" s="448">
        <f t="shared" si="7"/>
        <v>12375.938557041913</v>
      </c>
      <c r="AG77" s="453">
        <f t="shared" si="8"/>
        <v>510.61184424348841</v>
      </c>
      <c r="AH77" s="454">
        <f t="shared" si="15"/>
        <v>27.962531369835659</v>
      </c>
      <c r="AI77" s="104">
        <f t="shared" si="9"/>
        <v>-12.237468630164344</v>
      </c>
      <c r="AJ77" s="455">
        <v>0</v>
      </c>
      <c r="AK77" s="456"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5">
        <v>2</v>
      </c>
      <c r="D78">
        <v>1</v>
      </c>
      <c r="E78" s="64">
        <v>0</v>
      </c>
      <c r="F78" s="197">
        <v>0</v>
      </c>
      <c r="G78" s="197">
        <v>0</v>
      </c>
      <c r="H78" s="446">
        <f t="shared" si="1"/>
        <v>3</v>
      </c>
      <c r="I78" s="447">
        <f>J$15+M$15+M$15</f>
        <v>7.1999999999999993</v>
      </c>
      <c r="J78" s="447">
        <f t="shared" si="2"/>
        <v>289.1755102040816</v>
      </c>
      <c r="K78" s="94">
        <f>SUMPRODUCT($E$13:$E$15,$J$16:$J$18)+SUMPRODUCT($E$16:$E$18,$M$16:$M$18)+SUMPRODUCT($E$30:$E$32,$M$16:$M$18)</f>
        <v>30</v>
      </c>
      <c r="L78" s="448">
        <f t="shared" si="3"/>
        <v>319.1755102040816</v>
      </c>
      <c r="M78" s="457">
        <f>SUMPRODUCT($C$13:$C$15,$J$16:$J$18)+SUMPRODUCT($C$16:$C$18,$M$16:$M$18)+SUMPRODUCT($C$30:$C$32,$M$16:$M$18)</f>
        <v>9</v>
      </c>
      <c r="N78" s="104">
        <f>SUMPRODUCT($D$13:$D$15,$J$16:$J$18)+SUMPRODUCT($D$16:$D$18,$M$16:$M$18)</f>
        <v>47.849999999999994</v>
      </c>
      <c r="O78" s="104">
        <f>SUMPRODUCT($D$30:$D$32,$M$16:$M$18)</f>
        <v>14</v>
      </c>
      <c r="P78" s="104">
        <v>0</v>
      </c>
      <c r="Q78" s="450">
        <f t="shared" si="16"/>
        <v>24.237468630164344</v>
      </c>
      <c r="R78" s="1310">
        <f>(J$15+1-$J$15)*$O$2+25</f>
        <v>65.16326530612244</v>
      </c>
      <c r="S78" s="1310">
        <f>(I78+1-$J$15)*$O$2+$E$13+$E$16+D78*$O$3</f>
        <v>363.27346938775503</v>
      </c>
      <c r="T78" s="1310">
        <v>0</v>
      </c>
      <c r="U78" s="451">
        <f t="shared" si="13"/>
        <v>1</v>
      </c>
      <c r="V78" s="451">
        <f t="shared" si="4"/>
        <v>0.57761807611280536</v>
      </c>
      <c r="W78" s="451">
        <v>0</v>
      </c>
      <c r="X78" s="452">
        <f t="shared" si="5"/>
        <v>1</v>
      </c>
      <c r="Y78" s="447">
        <f t="shared" si="6"/>
        <v>6884.0763175368284</v>
      </c>
      <c r="Z78" s="447">
        <f t="shared" si="14"/>
        <v>4304.0670306051506</v>
      </c>
      <c r="AA78" s="447">
        <f>SUMPRODUCT($F$30:$F$32,$M$16:$M$18)*MIN(Q78/O78,1)*X78</f>
        <v>1462.7610770499225</v>
      </c>
      <c r="AB78" s="447">
        <v>0</v>
      </c>
      <c r="AC78" s="447">
        <v>0</v>
      </c>
      <c r="AD78" s="447">
        <v>0</v>
      </c>
      <c r="AE78" s="447">
        <v>0</v>
      </c>
      <c r="AF78" s="448">
        <f t="shared" si="7"/>
        <v>12650.904425191902</v>
      </c>
      <c r="AG78" s="453">
        <f t="shared" si="8"/>
        <v>521.95650536902303</v>
      </c>
      <c r="AH78" s="454">
        <f t="shared" si="15"/>
        <v>23.612531369835651</v>
      </c>
      <c r="AI78" s="104">
        <f t="shared" si="9"/>
        <v>-10.237468630164344</v>
      </c>
      <c r="AJ78" s="455">
        <v>0</v>
      </c>
      <c r="AK78" s="456"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5">
        <v>2</v>
      </c>
      <c r="D79">
        <v>1</v>
      </c>
      <c r="E79" s="64">
        <v>0</v>
      </c>
      <c r="F79" s="197">
        <v>0</v>
      </c>
      <c r="G79" s="197">
        <v>0</v>
      </c>
      <c r="H79" s="446">
        <f t="shared" si="1"/>
        <v>3</v>
      </c>
      <c r="I79" s="447">
        <f>K$15+M$15+M$15</f>
        <v>8.1999999999999993</v>
      </c>
      <c r="J79" s="447">
        <f t="shared" si="2"/>
        <v>329.33877551020402</v>
      </c>
      <c r="K79" s="94">
        <f>SUMPRODUCT($E$14:$E$16,$K$16:$K$18)+SUMPRODUCT($E$16:$E$18,$M$16:$M$18)+SUMPRODUCT($E$30:$E$32,$M$16:$M$18)</f>
        <v>25</v>
      </c>
      <c r="L79" s="448">
        <f t="shared" si="3"/>
        <v>354.33877551020402</v>
      </c>
      <c r="M79" s="457">
        <f>SUMPRODUCT($C$14:$C$16,$K$16:$K$18)+SUMPRODUCT($C$16:$C$18,$M$16:$M$18)+SUMPRODUCT($C$30:$C$32,$M$16:$M$18)</f>
        <v>10</v>
      </c>
      <c r="N79" s="104">
        <f>SUMPRODUCT($D$14:$D$16,$K$16:$K$18)+SUMPRODUCT($D$16:$D$18,$M$16:$M$18)</f>
        <v>52.2</v>
      </c>
      <c r="O79" s="104">
        <f>SUMPRODUCT($D$30:$D$32,$M$16:$M$18)</f>
        <v>14</v>
      </c>
      <c r="P79" s="104">
        <v>0</v>
      </c>
      <c r="Q79" s="450">
        <f t="shared" si="16"/>
        <v>26.90768771823393</v>
      </c>
      <c r="R79" s="1310">
        <f>(K$15+1-$J$15)*$O$2+25</f>
        <v>105.32653061224489</v>
      </c>
      <c r="S79" s="1310">
        <f>(I79+1-$J$15)*$O$2+$E$14+$E$16+D79*$O$3</f>
        <v>398.4367346938775</v>
      </c>
      <c r="T79" s="1310">
        <v>0</v>
      </c>
      <c r="U79" s="451">
        <f t="shared" si="13"/>
        <v>1</v>
      </c>
      <c r="V79" s="451">
        <f t="shared" si="4"/>
        <v>0.52029740149366066</v>
      </c>
      <c r="W79" s="451">
        <v>0</v>
      </c>
      <c r="X79" s="452">
        <f t="shared" si="5"/>
        <v>1</v>
      </c>
      <c r="Y79" s="447">
        <f t="shared" si="6"/>
        <v>7840.1980283058319</v>
      </c>
      <c r="Z79" s="447">
        <f t="shared" si="14"/>
        <v>4778.2420410742579</v>
      </c>
      <c r="AA79" s="447">
        <f>SUMPRODUCT($F$30:$F$32,$M$16:$M$18)*MIN(Q79/O79,1)*X79</f>
        <v>1462.7610770499225</v>
      </c>
      <c r="AB79" s="447">
        <v>0</v>
      </c>
      <c r="AC79" s="447">
        <v>0</v>
      </c>
      <c r="AD79" s="447">
        <v>0</v>
      </c>
      <c r="AE79" s="447">
        <v>0</v>
      </c>
      <c r="AF79" s="448">
        <f t="shared" si="7"/>
        <v>14081.201146430012</v>
      </c>
      <c r="AG79" s="453">
        <f t="shared" si="8"/>
        <v>523.31516902836358</v>
      </c>
      <c r="AH79" s="454">
        <f t="shared" si="15"/>
        <v>25.292312281766073</v>
      </c>
      <c r="AI79" s="104">
        <f t="shared" si="9"/>
        <v>-12.90768771823393</v>
      </c>
      <c r="AJ79" s="455">
        <v>0</v>
      </c>
      <c r="AK79" s="456"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5">
        <v>2</v>
      </c>
      <c r="D80">
        <v>1</v>
      </c>
      <c r="E80" s="64">
        <v>0</v>
      </c>
      <c r="F80" s="197">
        <v>0</v>
      </c>
      <c r="G80" s="197">
        <v>0</v>
      </c>
      <c r="H80" s="446">
        <f t="shared" si="1"/>
        <v>3</v>
      </c>
      <c r="I80" s="447">
        <f>J$15+M$15+N$15</f>
        <v>8.1999999999999993</v>
      </c>
      <c r="J80" s="447">
        <f t="shared" si="2"/>
        <v>329.33877551020402</v>
      </c>
      <c r="K80" s="94">
        <f>SUMPRODUCT($E$13:$E$15,$J$16:$J$18)+SUMPRODUCT($E$16:$E$18,$M$16:$M$18)+SUMPRODUCT($E$31:$E$33,$N$16:$N$18)</f>
        <v>25</v>
      </c>
      <c r="L80" s="448">
        <f t="shared" si="3"/>
        <v>354.33877551020402</v>
      </c>
      <c r="M80" s="457">
        <f>SUMPRODUCT($C$13:$C$15,$J$16:$J$18)+SUMPRODUCT($C$16:$C$18,$M$16:$M$18)+SUMPRODUCT($C$31:$C$33,$N$16:$N$18)</f>
        <v>10</v>
      </c>
      <c r="N80" s="104">
        <f>SUMPRODUCT($D$13:$D$15,$J$16:$J$18)+SUMPRODUCT($D$16:$D$18,$M$16:$M$18)</f>
        <v>47.849999999999994</v>
      </c>
      <c r="O80" s="104">
        <f>SUMPRODUCT($D$31:$D$33,$N$16:$N$18)</f>
        <v>16</v>
      </c>
      <c r="P80" s="104">
        <v>0</v>
      </c>
      <c r="Q80" s="450">
        <f t="shared" si="16"/>
        <v>26.90768771823393</v>
      </c>
      <c r="R80" s="1310">
        <f>(J$15+1-$J$15)*$O$2+25</f>
        <v>65.16326530612244</v>
      </c>
      <c r="S80" s="1310">
        <f>(I80+1-$J$15)*$O$2+$E$13+$E$16+D80*$O$3</f>
        <v>403.4367346938775</v>
      </c>
      <c r="T80" s="1310">
        <v>0</v>
      </c>
      <c r="U80" s="451">
        <f t="shared" si="13"/>
        <v>1</v>
      </c>
      <c r="V80" s="451">
        <f t="shared" si="4"/>
        <v>0.59462560170704071</v>
      </c>
      <c r="W80" s="451">
        <v>0</v>
      </c>
      <c r="X80" s="452">
        <f t="shared" si="5"/>
        <v>1</v>
      </c>
      <c r="Y80" s="447">
        <f t="shared" si="6"/>
        <v>7840.1980283058319</v>
      </c>
      <c r="Z80" s="447">
        <f t="shared" si="14"/>
        <v>4778.2420410742579</v>
      </c>
      <c r="AA80" s="447">
        <f>SUMPRODUCT($F$31:$F$33,$N$16:$N$18)*MIN(Q80/O80,1)*X80</f>
        <v>1759.7269451999114</v>
      </c>
      <c r="AB80" s="447">
        <v>0</v>
      </c>
      <c r="AC80" s="447">
        <v>0</v>
      </c>
      <c r="AD80" s="447">
        <v>0</v>
      </c>
      <c r="AE80" s="447">
        <v>0</v>
      </c>
      <c r="AF80" s="448">
        <f t="shared" si="7"/>
        <v>14378.16701458</v>
      </c>
      <c r="AG80" s="453">
        <f t="shared" si="8"/>
        <v>534.35163828055988</v>
      </c>
      <c r="AH80" s="454">
        <f t="shared" si="15"/>
        <v>20.942312281766064</v>
      </c>
      <c r="AI80" s="104">
        <f t="shared" si="9"/>
        <v>-10.90768771823393</v>
      </c>
      <c r="AJ80" s="455">
        <v>0</v>
      </c>
      <c r="AK80" s="456"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5">
        <v>2</v>
      </c>
      <c r="D81">
        <v>1</v>
      </c>
      <c r="E81" s="64">
        <v>0</v>
      </c>
      <c r="F81" s="197">
        <v>0</v>
      </c>
      <c r="G81" s="197">
        <v>0</v>
      </c>
      <c r="H81" s="446">
        <f t="shared" si="1"/>
        <v>3</v>
      </c>
      <c r="I81" s="447">
        <f>K$15+M$15+N$15</f>
        <v>9.1999999999999993</v>
      </c>
      <c r="J81" s="447">
        <f t="shared" si="2"/>
        <v>369.50204081632648</v>
      </c>
      <c r="K81" s="94">
        <f>SUMPRODUCT($E$14:$E$16,$K$16:$K$18)+SUMPRODUCT($E$16:$E$18,$M$16:$M$18)+SUMPRODUCT($E$31:$E$33,$N$16:$N$18)</f>
        <v>20</v>
      </c>
      <c r="L81" s="448">
        <f t="shared" si="3"/>
        <v>389.50204081632648</v>
      </c>
      <c r="M81" s="457">
        <f>SUMPRODUCT($C$14:$C$16,$K$16:$K$18)+SUMPRODUCT($C$16:$C$18,$M$16:$M$18)+SUMPRODUCT($C$31:$C$33,$N$16:$N$18)</f>
        <v>11</v>
      </c>
      <c r="N81" s="104">
        <f>SUMPRODUCT($D$14:$D$16,$K$16:$K$18)+SUMPRODUCT($D$16:$D$18,$M$16:$M$18)</f>
        <v>52.2</v>
      </c>
      <c r="O81" s="104">
        <f>SUMPRODUCT($D$31:$D$33,$N$16:$N$18)</f>
        <v>16</v>
      </c>
      <c r="P81" s="104">
        <v>0</v>
      </c>
      <c r="Q81" s="450">
        <f t="shared" si="16"/>
        <v>29.57790680630352</v>
      </c>
      <c r="R81" s="1310">
        <f>(K$15+1-$J$15)*$O$2+25</f>
        <v>105.32653061224489</v>
      </c>
      <c r="S81" s="1310">
        <f>(I81+1-$J$15)*$O$2+$E$14+$E$16+D81*$O$3</f>
        <v>438.59999999999997</v>
      </c>
      <c r="T81" s="1310">
        <v>0</v>
      </c>
      <c r="U81" s="451">
        <f t="shared" si="13"/>
        <v>1</v>
      </c>
      <c r="V81" s="451">
        <f t="shared" si="4"/>
        <v>0.54094429686248613</v>
      </c>
      <c r="W81" s="451">
        <v>0</v>
      </c>
      <c r="X81" s="452">
        <f t="shared" si="5"/>
        <v>1</v>
      </c>
      <c r="Y81" s="447">
        <f t="shared" si="6"/>
        <v>8796.3197390748355</v>
      </c>
      <c r="Z81" s="447">
        <f t="shared" si="14"/>
        <v>5252.417051543368</v>
      </c>
      <c r="AA81" s="447">
        <f>SUMPRODUCT($F$31:$F$33,$N$16:$N$18)*MIN(Q81/O81,1)*X81</f>
        <v>1759.7269451999114</v>
      </c>
      <c r="AB81" s="447">
        <v>0</v>
      </c>
      <c r="AC81" s="447">
        <v>0</v>
      </c>
      <c r="AD81" s="447">
        <v>0</v>
      </c>
      <c r="AE81" s="447">
        <v>0</v>
      </c>
      <c r="AF81" s="448">
        <f t="shared" si="7"/>
        <v>15808.463735818115</v>
      </c>
      <c r="AG81" s="453">
        <f t="shared" si="8"/>
        <v>534.46864375301504</v>
      </c>
      <c r="AH81" s="454">
        <f t="shared" si="15"/>
        <v>22.622093193696482</v>
      </c>
      <c r="AI81" s="104">
        <f t="shared" si="9"/>
        <v>-13.57790680630352</v>
      </c>
      <c r="AJ81" s="455">
        <v>0</v>
      </c>
      <c r="AK81" s="456"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5">
        <v>2</v>
      </c>
      <c r="D82">
        <v>1</v>
      </c>
      <c r="E82" s="64">
        <v>0</v>
      </c>
      <c r="F82" s="197">
        <v>0</v>
      </c>
      <c r="G82" s="197">
        <v>0</v>
      </c>
      <c r="H82" s="446">
        <f>SUM(C82:G82)</f>
        <v>3</v>
      </c>
      <c r="I82" s="447">
        <f>J$15+N$15+L$15</f>
        <v>7.2000000000000011</v>
      </c>
      <c r="J82" s="447">
        <f t="shared" si="2"/>
        <v>289.17551020408166</v>
      </c>
      <c r="K82" s="94">
        <f>SUMPRODUCT($E$13:$E$15,$J$16:$J$18)+SUMPRODUCT($E$17:$E$19,$N$16:$N$18)+SUMPRODUCT($E$29:$E$31,$L$16:$L$18)</f>
        <v>30</v>
      </c>
      <c r="L82" s="448">
        <f>J82+K82</f>
        <v>319.17551020408166</v>
      </c>
      <c r="M82" s="457">
        <f>SUMPRODUCT($C$13:$C$15,$J$16:$J$18)+SUMPRODUCT($C$17:$C$19,$N$16:$N$18)+SUMPRODUCT($C$29:$C$31,$L$16:$L$18)</f>
        <v>9</v>
      </c>
      <c r="N82" s="104">
        <f>SUMPRODUCT($D$13:$D$15,$J$16:$J$18)+SUMPRODUCT($D$17:$D$19,$N$16:$N$18)</f>
        <v>52.199999999999996</v>
      </c>
      <c r="O82" s="104">
        <f>SUMPRODUCT($D$29:$D$31,$L$16:$L$18)</f>
        <v>12</v>
      </c>
      <c r="P82" s="104">
        <v>0</v>
      </c>
      <c r="Q82" s="450">
        <f>IF(N82&gt;L82/sndeps,L82/sndeps,N82+(L82/sndeps-N82)*sndeps/eps)</f>
        <v>24.237468630164347</v>
      </c>
      <c r="R82" s="1310">
        <f>(J$15+1-$J$15)*$O$2+25</f>
        <v>65.16326530612244</v>
      </c>
      <c r="S82" s="1310">
        <f>(I82+1-$J$15)*$O$2+$E$13+$E$17+D82*$O$3</f>
        <v>358.27346938775514</v>
      </c>
      <c r="T82" s="1310">
        <v>0</v>
      </c>
      <c r="U82" s="451">
        <f t="shared" si="13"/>
        <v>1</v>
      </c>
      <c r="V82" s="451">
        <f t="shared" si="4"/>
        <v>0.49510120809669023</v>
      </c>
      <c r="W82" s="451">
        <v>0</v>
      </c>
      <c r="X82" s="452">
        <f t="shared" si="5"/>
        <v>1</v>
      </c>
      <c r="Y82" s="447">
        <f t="shared" si="6"/>
        <v>6884.0763175368302</v>
      </c>
      <c r="Z82" s="447">
        <f t="shared" si="14"/>
        <v>4304.0670306051516</v>
      </c>
      <c r="AA82" s="447">
        <f>SUMPRODUCT($F$29:$F$31,$L$16:$L$18)*MIN(Q82/O82,1)*X82</f>
        <v>1187.7952088999336</v>
      </c>
      <c r="AB82" s="447">
        <v>0</v>
      </c>
      <c r="AC82" s="447">
        <v>0</v>
      </c>
      <c r="AD82" s="447">
        <v>0</v>
      </c>
      <c r="AE82" s="447">
        <v>0</v>
      </c>
      <c r="AF82" s="448">
        <f>SUM(Y82:AE82)</f>
        <v>12375.938557041914</v>
      </c>
      <c r="AG82" s="453">
        <f t="shared" si="8"/>
        <v>510.61184424348841</v>
      </c>
      <c r="AH82" s="454">
        <f t="shared" si="15"/>
        <v>27.962531369835649</v>
      </c>
      <c r="AI82" s="104">
        <f t="shared" si="9"/>
        <v>-12.237468630164347</v>
      </c>
      <c r="AJ82" s="455">
        <v>0</v>
      </c>
      <c r="AK82" s="456"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5">
        <v>2</v>
      </c>
      <c r="D83">
        <v>1</v>
      </c>
      <c r="E83" s="64">
        <v>0</v>
      </c>
      <c r="F83" s="197">
        <v>0</v>
      </c>
      <c r="G83" s="197">
        <v>0</v>
      </c>
      <c r="H83" s="446">
        <f>SUM(C83:G83)</f>
        <v>3</v>
      </c>
      <c r="I83" s="447">
        <f>K$15+N$15+L$15</f>
        <v>8.2000000000000011</v>
      </c>
      <c r="J83" s="447">
        <f t="shared" si="2"/>
        <v>329.33877551020413</v>
      </c>
      <c r="K83" s="94">
        <f>SUMPRODUCT($E$14:$E$16,$K$16:$K$18)+SUMPRODUCT($E$17:$E$19,$N$16:$N$18)+SUMPRODUCT($E$29:$E$31,$L$16:$L$18)</f>
        <v>25</v>
      </c>
      <c r="L83" s="448">
        <f>J83+K83</f>
        <v>354.33877551020413</v>
      </c>
      <c r="M83" s="457">
        <f>SUMPRODUCT($C$14:$C$16,$K$16:$K$18)+SUMPRODUCT($C$17:$C$19,$N$16:$N$18)+SUMPRODUCT($C$29:$C$31,$L$16:$L$18)</f>
        <v>10</v>
      </c>
      <c r="N83" s="104">
        <f>SUMPRODUCT($D$14:$D$16,$K$16:$K$18)+SUMPRODUCT($D$17:$D$19,$N$16:$N$18)</f>
        <v>56.55</v>
      </c>
      <c r="O83" s="104">
        <f>SUMPRODUCT($D$29:$D$31,$L$16:$L$18)</f>
        <v>12</v>
      </c>
      <c r="P83" s="104">
        <v>0</v>
      </c>
      <c r="Q83" s="450">
        <f>IF(N83&gt;L83/sndeps,L83/sndeps,N83+(L83/sndeps-N83)*sndeps/eps)</f>
        <v>26.907687718233937</v>
      </c>
      <c r="R83" s="1310">
        <f>(K$15+1-$J$15)*$O$2+25</f>
        <v>105.32653061224489</v>
      </c>
      <c r="S83" s="1310">
        <f>(I83+1-$J$15)*$O$2+$E$14+$E$17+D83*$O$3</f>
        <v>393.43673469387755</v>
      </c>
      <c r="T83" s="1310">
        <v>0</v>
      </c>
      <c r="U83" s="451">
        <f t="shared" si="13"/>
        <v>1</v>
      </c>
      <c r="V83" s="451">
        <f t="shared" si="4"/>
        <v>0.44596920128028039</v>
      </c>
      <c r="W83" s="451">
        <v>0</v>
      </c>
      <c r="X83" s="452">
        <f t="shared" si="5"/>
        <v>1</v>
      </c>
      <c r="Y83" s="447">
        <f t="shared" si="6"/>
        <v>7840.1980283058338</v>
      </c>
      <c r="Z83" s="447">
        <f t="shared" si="14"/>
        <v>4778.2420410742598</v>
      </c>
      <c r="AA83" s="447">
        <f>SUMPRODUCT($F$29:$F$31,$L$16:$L$18)*MIN(Q83/O83,1)*X83</f>
        <v>1187.7952088999336</v>
      </c>
      <c r="AB83" s="447">
        <v>0</v>
      </c>
      <c r="AC83" s="447">
        <v>0</v>
      </c>
      <c r="AD83" s="447">
        <v>0</v>
      </c>
      <c r="AE83" s="447">
        <v>0</v>
      </c>
      <c r="AF83" s="448">
        <f>SUM(Y83:AE83)</f>
        <v>13806.235278280026</v>
      </c>
      <c r="AG83" s="453">
        <f t="shared" si="8"/>
        <v>513.09630997851445</v>
      </c>
      <c r="AH83" s="454">
        <f t="shared" si="15"/>
        <v>29.64231228176606</v>
      </c>
      <c r="AI83" s="104">
        <f t="shared" si="9"/>
        <v>-14.907687718233937</v>
      </c>
      <c r="AJ83" s="455">
        <v>0</v>
      </c>
      <c r="AK83" s="456"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5">
        <v>2</v>
      </c>
      <c r="D84">
        <v>1</v>
      </c>
      <c r="E84" s="64">
        <v>0</v>
      </c>
      <c r="F84" s="197">
        <v>0</v>
      </c>
      <c r="G84" s="197">
        <v>0</v>
      </c>
      <c r="H84" s="446">
        <f>SUM(C84:G84)</f>
        <v>3</v>
      </c>
      <c r="I84" s="447">
        <f>L$15+N$15+L$15</f>
        <v>9.2000000000000011</v>
      </c>
      <c r="J84" s="447">
        <f t="shared" si="2"/>
        <v>369.50204081632654</v>
      </c>
      <c r="K84" s="94">
        <f>SUMPRODUCT($E$15:$E$17,$L$16:$L$18)+SUMPRODUCT($E$17:$E$19,$N$16:$N$18)+SUMPRODUCT($E$29:$E$31,$L$16:$L$18)</f>
        <v>20</v>
      </c>
      <c r="L84" s="448">
        <f>J84+K84</f>
        <v>389.50204081632654</v>
      </c>
      <c r="M84" s="457">
        <f>SUMPRODUCT($C$15:$C$17,$L$16:$L$18)+SUMPRODUCT($C$17:$C$19,$N$16:$N$18)+SUMPRODUCT($C$29:$C$31,$L$16:$L$18)</f>
        <v>11</v>
      </c>
      <c r="N84" s="104">
        <f>SUMPRODUCT($D$15:$D$17,$L$16:$L$18)+SUMPRODUCT($D$17:$D$19,$N$16:$N$18)</f>
        <v>60.899999999999991</v>
      </c>
      <c r="O84" s="104">
        <f>SUMPRODUCT($D$29:$D$31,$L$16:$L$18)</f>
        <v>12</v>
      </c>
      <c r="P84" s="104">
        <v>0</v>
      </c>
      <c r="Q84" s="450">
        <f>IF(N84&gt;L84/sndeps,L84/sndeps,N84+(L84/sndeps-N84)*sndeps/eps)</f>
        <v>29.577906806303528</v>
      </c>
      <c r="R84" s="1310">
        <f>(L$15+1-$J$15)*$O$2+25</f>
        <v>145.48979591836735</v>
      </c>
      <c r="S84" s="1310">
        <f>(I84+1-$J$15)*$O$2+$E$15+$E$17+D84*$O$3</f>
        <v>428.6</v>
      </c>
      <c r="T84" s="1310">
        <v>0</v>
      </c>
      <c r="U84" s="451">
        <f t="shared" si="13"/>
        <v>1</v>
      </c>
      <c r="V84" s="451">
        <f t="shared" si="4"/>
        <v>0.40570822264686446</v>
      </c>
      <c r="W84" s="451">
        <v>0</v>
      </c>
      <c r="X84" s="452">
        <f t="shared" si="5"/>
        <v>1</v>
      </c>
      <c r="Y84" s="447">
        <f t="shared" si="6"/>
        <v>8796.3197390748373</v>
      </c>
      <c r="Z84" s="447">
        <f t="shared" si="14"/>
        <v>5252.417051543368</v>
      </c>
      <c r="AA84" s="447">
        <f>SUMPRODUCT($F$29:$F$31,$L$16:$L$18)*MIN(Q84/O84,1)*X84</f>
        <v>1187.7952088999336</v>
      </c>
      <c r="AB84" s="447">
        <v>0</v>
      </c>
      <c r="AC84" s="447">
        <v>0</v>
      </c>
      <c r="AD84" s="447">
        <v>0</v>
      </c>
      <c r="AE84" s="447">
        <v>0</v>
      </c>
      <c r="AF84" s="448">
        <f>SUM(Y84:AE84)</f>
        <v>15236.531999518138</v>
      </c>
      <c r="AG84" s="453">
        <f t="shared" si="8"/>
        <v>515.13219306888163</v>
      </c>
      <c r="AH84" s="454">
        <f t="shared" si="15"/>
        <v>31.322093193696464</v>
      </c>
      <c r="AI84" s="104">
        <f t="shared" si="9"/>
        <v>-17.577906806303528</v>
      </c>
      <c r="AJ84" s="455">
        <v>0</v>
      </c>
      <c r="AK84" s="456"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5">
        <v>2</v>
      </c>
      <c r="D85">
        <v>1</v>
      </c>
      <c r="E85" s="64">
        <v>0</v>
      </c>
      <c r="F85" s="197">
        <v>0</v>
      </c>
      <c r="G85" s="197">
        <v>0</v>
      </c>
      <c r="H85" s="446">
        <f t="shared" ref="H85:H148" si="17">SUM(C85:G85)</f>
        <v>3</v>
      </c>
      <c r="I85" s="447">
        <f>J$15+N$15+M$15</f>
        <v>8.2000000000000011</v>
      </c>
      <c r="J85" s="447">
        <f t="shared" si="2"/>
        <v>329.33877551020413</v>
      </c>
      <c r="K85" s="94">
        <f>SUMPRODUCT($E$13:$E$15,$J$16:$J$18)+SUMPRODUCT($E$17:$E$19,$N$16:$N$18)+SUMPRODUCT($E$30:$E$32,$M$16:$M$18)</f>
        <v>25</v>
      </c>
      <c r="L85" s="448">
        <f t="shared" ref="L85:L148" si="18">J85+K85</f>
        <v>354.33877551020413</v>
      </c>
      <c r="M85" s="457">
        <f>SUMPRODUCT($C$13:$C$15,$J$16:$J$18)+SUMPRODUCT($C$17:$C$19,$N$16:$N$18)+SUMPRODUCT($C$30:$C$32,$M$16:$M$18)</f>
        <v>10</v>
      </c>
      <c r="N85" s="104">
        <f>SUMPRODUCT($D$13:$D$15,$J$16:$J$18)+SUMPRODUCT($D$17:$D$19,$N$16:$N$18)</f>
        <v>52.199999999999996</v>
      </c>
      <c r="O85" s="104">
        <f>SUMPRODUCT($D$30:$D$32,$M$16:$M$18)</f>
        <v>14</v>
      </c>
      <c r="P85" s="104">
        <v>0</v>
      </c>
      <c r="Q85" s="450">
        <f t="shared" ref="Q85:Q94" si="19">IF(N85&gt;L85/sndeps,L85/sndeps,N85+(L85/sndeps-N85)*sndeps/eps)</f>
        <v>26.907687718233937</v>
      </c>
      <c r="R85" s="1310">
        <f>(J$15+1-$J$15)*$O$2+25</f>
        <v>65.16326530612244</v>
      </c>
      <c r="S85" s="1310">
        <f>(I85+1-$J$15)*$O$2+$E$13+$E$17+D85*$O$3</f>
        <v>398.43673469387755</v>
      </c>
      <c r="T85" s="1310">
        <v>0</v>
      </c>
      <c r="U85" s="451">
        <f t="shared" si="13"/>
        <v>1</v>
      </c>
      <c r="V85" s="451">
        <f t="shared" si="4"/>
        <v>0.52029740149366044</v>
      </c>
      <c r="W85" s="451">
        <v>0</v>
      </c>
      <c r="X85" s="452">
        <f t="shared" si="5"/>
        <v>1</v>
      </c>
      <c r="Y85" s="447">
        <f t="shared" si="6"/>
        <v>7840.1980283058338</v>
      </c>
      <c r="Z85" s="447">
        <f t="shared" si="14"/>
        <v>4778.2420410742598</v>
      </c>
      <c r="AA85" s="447">
        <f>SUMPRODUCT($F$30:$F$32,$M$16:$M$18)*MIN(Q85/O85,1)*X85</f>
        <v>1462.7610770499225</v>
      </c>
      <c r="AB85" s="447">
        <v>0</v>
      </c>
      <c r="AC85" s="447">
        <v>0</v>
      </c>
      <c r="AD85" s="447">
        <v>0</v>
      </c>
      <c r="AE85" s="447">
        <v>0</v>
      </c>
      <c r="AF85" s="448">
        <f t="shared" ref="AF85:AF148" si="20">SUM(Y85:AE85)</f>
        <v>14081.201146430016</v>
      </c>
      <c r="AG85" s="453">
        <f t="shared" si="8"/>
        <v>523.31516902836358</v>
      </c>
      <c r="AH85" s="454">
        <f t="shared" si="15"/>
        <v>25.292312281766058</v>
      </c>
      <c r="AI85" s="104">
        <f t="shared" si="9"/>
        <v>-12.907687718233937</v>
      </c>
      <c r="AJ85" s="455">
        <v>0</v>
      </c>
      <c r="AK85" s="456"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5">
        <v>2</v>
      </c>
      <c r="D86">
        <v>1</v>
      </c>
      <c r="E86" s="64">
        <v>0</v>
      </c>
      <c r="F86" s="197">
        <v>0</v>
      </c>
      <c r="G86" s="197">
        <v>0</v>
      </c>
      <c r="H86" s="446">
        <f t="shared" si="17"/>
        <v>3</v>
      </c>
      <c r="I86" s="447">
        <f>K$15+N$15+M$15</f>
        <v>9.2000000000000011</v>
      </c>
      <c r="J86" s="447">
        <f t="shared" si="2"/>
        <v>369.50204081632654</v>
      </c>
      <c r="K86" s="94">
        <f>SUMPRODUCT($E$14:$E$16,$K$16:$K$18)+SUMPRODUCT($E$17:$E$19,$N$16:$N$18)+SUMPRODUCT($E$30:$E$32,$M$16:$M$18)</f>
        <v>20</v>
      </c>
      <c r="L86" s="448">
        <f t="shared" si="18"/>
        <v>389.50204081632654</v>
      </c>
      <c r="M86" s="457">
        <f>SUMPRODUCT($C$14:$C$16,$K$16:$K$18)+SUMPRODUCT($C$17:$C$19,$N$16:$N$18)+SUMPRODUCT($C$30:$C$32,$M$16:$M$18)</f>
        <v>11</v>
      </c>
      <c r="N86" s="104">
        <f>SUMPRODUCT($D$14:$D$16,$K$16:$K$18)+SUMPRODUCT($D$17:$D$19,$N$16:$N$18)</f>
        <v>56.55</v>
      </c>
      <c r="O86" s="104">
        <f>SUMPRODUCT($D$30:$D$32,$M$16:$M$18)</f>
        <v>14</v>
      </c>
      <c r="P86" s="104">
        <v>0</v>
      </c>
      <c r="Q86" s="450">
        <f t="shared" si="19"/>
        <v>29.577906806303528</v>
      </c>
      <c r="R86" s="1310">
        <f>(K$15+1-$J$15)*$O$2+25</f>
        <v>105.32653061224489</v>
      </c>
      <c r="S86" s="1310">
        <f>(I86+1-$J$15)*$O$2+$E$14+$E$17+D86*$O$3</f>
        <v>433.6</v>
      </c>
      <c r="T86" s="1310">
        <v>0</v>
      </c>
      <c r="U86" s="451">
        <f t="shared" si="13"/>
        <v>1</v>
      </c>
      <c r="V86" s="451">
        <f t="shared" si="4"/>
        <v>0.47332625975467524</v>
      </c>
      <c r="W86" s="451">
        <v>0</v>
      </c>
      <c r="X86" s="452">
        <f t="shared" si="5"/>
        <v>1</v>
      </c>
      <c r="Y86" s="447">
        <f t="shared" si="6"/>
        <v>8796.3197390748373</v>
      </c>
      <c r="Z86" s="447">
        <f t="shared" si="14"/>
        <v>5252.417051543368</v>
      </c>
      <c r="AA86" s="447">
        <f>SUMPRODUCT($F$30:$F$32,$M$16:$M$18)*MIN(Q86/O86,1)*X86</f>
        <v>1462.7610770499225</v>
      </c>
      <c r="AB86" s="447">
        <v>0</v>
      </c>
      <c r="AC86" s="447">
        <v>0</v>
      </c>
      <c r="AD86" s="447">
        <v>0</v>
      </c>
      <c r="AE86" s="447">
        <v>0</v>
      </c>
      <c r="AF86" s="448">
        <f t="shared" si="20"/>
        <v>15511.497867668128</v>
      </c>
      <c r="AG86" s="453">
        <f t="shared" si="8"/>
        <v>524.42851920685541</v>
      </c>
      <c r="AH86" s="454">
        <f t="shared" si="15"/>
        <v>26.97209319369647</v>
      </c>
      <c r="AI86" s="104">
        <f t="shared" si="9"/>
        <v>-15.577906806303528</v>
      </c>
      <c r="AJ86" s="455">
        <v>0</v>
      </c>
      <c r="AK86" s="456"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5">
        <v>2</v>
      </c>
      <c r="D87">
        <v>1</v>
      </c>
      <c r="E87" s="64">
        <v>0</v>
      </c>
      <c r="F87" s="197">
        <v>0</v>
      </c>
      <c r="G87" s="197">
        <v>0</v>
      </c>
      <c r="H87" s="446">
        <f t="shared" si="17"/>
        <v>3</v>
      </c>
      <c r="I87" s="447">
        <f>L$15+N$15+M$15</f>
        <v>10.200000000000001</v>
      </c>
      <c r="J87" s="447">
        <f t="shared" si="2"/>
        <v>409.66530612244901</v>
      </c>
      <c r="K87" s="94">
        <f>SUMPRODUCT($E$15:$E$17,$L$16:$L$18)+SUMPRODUCT($E$17:$E$19,$N$16:$N$18)+SUMPRODUCT($E$30:$E$32,$M$16:$M$18)</f>
        <v>15</v>
      </c>
      <c r="L87" s="448">
        <f t="shared" si="18"/>
        <v>424.66530612244901</v>
      </c>
      <c r="M87" s="457">
        <f>SUMPRODUCT($C$15:$C$17,$L$16:$L$18)+SUMPRODUCT($C$17:$C$19,$N$16:$N$18)+SUMPRODUCT($C$30:$C$32,$M$16:$M$18)</f>
        <v>12</v>
      </c>
      <c r="N87" s="104">
        <f>SUMPRODUCT($D$15:$D$17,$L$16:$L$18)+SUMPRODUCT($D$17:$D$19,$N$16:$N$18)</f>
        <v>60.899999999999991</v>
      </c>
      <c r="O87" s="104">
        <f>SUMPRODUCT($D$30:$D$32,$M$16:$M$18)</f>
        <v>14</v>
      </c>
      <c r="P87" s="104">
        <v>0</v>
      </c>
      <c r="Q87" s="450">
        <f t="shared" si="19"/>
        <v>32.248125894373118</v>
      </c>
      <c r="R87" s="1310">
        <f>(L$15+1-$J$15)*$O$2+25</f>
        <v>145.48979591836735</v>
      </c>
      <c r="S87" s="1310">
        <f>(I87+1-$J$15)*$O$2+$E$15+$E$17+D87*$O$3</f>
        <v>468.76326530612243</v>
      </c>
      <c r="T87" s="1310">
        <v>0</v>
      </c>
      <c r="U87" s="451">
        <f t="shared" si="13"/>
        <v>1</v>
      </c>
      <c r="V87" s="451">
        <f t="shared" si="4"/>
        <v>0.43413375542678651</v>
      </c>
      <c r="W87" s="451">
        <v>0</v>
      </c>
      <c r="X87" s="452">
        <f t="shared" si="5"/>
        <v>1</v>
      </c>
      <c r="Y87" s="447">
        <f t="shared" si="6"/>
        <v>9752.4414498438418</v>
      </c>
      <c r="Z87" s="447">
        <f t="shared" si="14"/>
        <v>5726.5920620124771</v>
      </c>
      <c r="AA87" s="447">
        <f>SUMPRODUCT($F$30:$F$32,$M$16:$M$18)*MIN(Q87/O87,1)*X87</f>
        <v>1462.7610770499225</v>
      </c>
      <c r="AB87" s="447">
        <v>0</v>
      </c>
      <c r="AC87" s="447">
        <v>0</v>
      </c>
      <c r="AD87" s="447">
        <v>0</v>
      </c>
      <c r="AE87" s="447">
        <v>0</v>
      </c>
      <c r="AF87" s="448">
        <f t="shared" si="20"/>
        <v>16941.794588906243</v>
      </c>
      <c r="AG87" s="453">
        <f t="shared" si="8"/>
        <v>525.35749346793409</v>
      </c>
      <c r="AH87" s="454">
        <f t="shared" si="15"/>
        <v>28.651874105626874</v>
      </c>
      <c r="AI87" s="104">
        <f t="shared" si="9"/>
        <v>-18.248125894373118</v>
      </c>
      <c r="AJ87" s="455">
        <v>0</v>
      </c>
      <c r="AK87" s="456"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5">
        <v>2</v>
      </c>
      <c r="D88">
        <v>1</v>
      </c>
      <c r="E88" s="64">
        <v>0</v>
      </c>
      <c r="F88" s="197">
        <v>0</v>
      </c>
      <c r="G88" s="197">
        <v>0</v>
      </c>
      <c r="H88" s="446">
        <f t="shared" si="17"/>
        <v>3</v>
      </c>
      <c r="I88" s="447">
        <f>J$15+N$15+N$15</f>
        <v>9.2000000000000011</v>
      </c>
      <c r="J88" s="447">
        <f t="shared" ref="J88:J119" si="21">I88*$O$2</f>
        <v>369.50204081632654</v>
      </c>
      <c r="K88" s="94">
        <f>SUMPRODUCT($E$13:$E$15,$J$16:$J$18)+SUMPRODUCT($E$17:$E$19,$N$16:$N$18)+SUMPRODUCT($E$31:$E$33,$N$16:$N$18)</f>
        <v>20</v>
      </c>
      <c r="L88" s="448">
        <f t="shared" si="18"/>
        <v>389.50204081632654</v>
      </c>
      <c r="M88" s="457">
        <f>SUMPRODUCT($C$13:$C$15,$J$16:$J$18)+SUMPRODUCT($C$17:$C$19,$N$16:$N$18)+SUMPRODUCT($C$31:$C$33,$N$16:$N$18)</f>
        <v>11</v>
      </c>
      <c r="N88" s="104">
        <f>SUMPRODUCT($D$13:$D$15,$J$16:$J$18)+SUMPRODUCT($D$17:$D$19,$N$16:$N$18)</f>
        <v>52.199999999999996</v>
      </c>
      <c r="O88" s="104">
        <f>SUMPRODUCT($D$31:$D$33,$N$16:$N$18)</f>
        <v>16</v>
      </c>
      <c r="P88" s="104">
        <v>0</v>
      </c>
      <c r="Q88" s="450">
        <f t="shared" si="19"/>
        <v>29.577906806303528</v>
      </c>
      <c r="R88" s="1310">
        <f>(J$15+1-$J$15)*$O$2+25</f>
        <v>65.16326530612244</v>
      </c>
      <c r="S88" s="1310">
        <f>(I88+1-$J$15)*$O$2+$E$13+$E$17+D88*$O$3</f>
        <v>438.6</v>
      </c>
      <c r="T88" s="1310">
        <v>0</v>
      </c>
      <c r="U88" s="451">
        <f t="shared" si="13"/>
        <v>1</v>
      </c>
      <c r="V88" s="451">
        <f t="shared" ref="V88:V119" si="22">IF(O88&gt;0,MIN(1,O88/Q88),0)</f>
        <v>0.54094429686248602</v>
      </c>
      <c r="W88" s="451">
        <v>0</v>
      </c>
      <c r="X88" s="452">
        <f t="shared" ref="X88:X119" si="23">MIN(1,H88*10/Q88)*fw+(1-(MIN(1,H88*10/Q88)))*1</f>
        <v>1</v>
      </c>
      <c r="Y88" s="447">
        <f t="shared" ref="Y88:Y119" si="24">(I88*avginst)*X88*$K$4</f>
        <v>8796.3197390748373</v>
      </c>
      <c r="Z88" s="447">
        <f t="shared" si="14"/>
        <v>5252.417051543368</v>
      </c>
      <c r="AA88" s="447">
        <f>SUMPRODUCT($F$31:$F$33,$N$16:$N$18)*MIN(Q88/O88,1)*X88</f>
        <v>1759.7269451999114</v>
      </c>
      <c r="AB88" s="447">
        <v>0</v>
      </c>
      <c r="AC88" s="447">
        <v>0</v>
      </c>
      <c r="AD88" s="447">
        <v>0</v>
      </c>
      <c r="AE88" s="447">
        <v>0</v>
      </c>
      <c r="AF88" s="448">
        <f t="shared" si="20"/>
        <v>15808.463735818115</v>
      </c>
      <c r="AG88" s="453">
        <f t="shared" ref="AG88:AG119" si="25">IF(AND(forceea,W88=0),0,IF(time=0, AF88/Q88, IF(time&lt;Q88, 0, AF88/Q88))*AQ88)</f>
        <v>534.46864375301493</v>
      </c>
      <c r="AH88" s="454">
        <f t="shared" si="15"/>
        <v>22.622093193696468</v>
      </c>
      <c r="AI88" s="104">
        <f t="shared" ref="AI88:AI119" si="26">O88-$Q88</f>
        <v>-13.577906806303528</v>
      </c>
      <c r="AJ88" s="455">
        <v>0</v>
      </c>
      <c r="AK88" s="456"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5">
        <v>2</v>
      </c>
      <c r="D89">
        <v>1</v>
      </c>
      <c r="E89" s="64">
        <v>0</v>
      </c>
      <c r="F89" s="197">
        <v>0</v>
      </c>
      <c r="G89" s="197">
        <v>0</v>
      </c>
      <c r="H89" s="446">
        <f t="shared" si="17"/>
        <v>3</v>
      </c>
      <c r="I89" s="447">
        <f>K$15+N$15+N$15</f>
        <v>10.200000000000001</v>
      </c>
      <c r="J89" s="447">
        <f t="shared" si="21"/>
        <v>409.66530612244901</v>
      </c>
      <c r="K89" s="94">
        <f>SUMPRODUCT($E$14:$E$16,$K$16:$K$18)+SUMPRODUCT($E$17:$E$19,$N$16:$N$18)+SUMPRODUCT($E$31:$E$33,$N$16:$N$18)</f>
        <v>15</v>
      </c>
      <c r="L89" s="448">
        <f t="shared" si="18"/>
        <v>424.66530612244901</v>
      </c>
      <c r="M89" s="457">
        <f>SUMPRODUCT($C$14:$C$16,$K$16:$K$18)+SUMPRODUCT($C$17:$C$19,$N$16:$N$18)+SUMPRODUCT($C$31:$C$33,$N$16:$N$18)</f>
        <v>12</v>
      </c>
      <c r="N89" s="104">
        <f>SUMPRODUCT($D$14:$D$16,$K$16:$K$18)+SUMPRODUCT($D$17:$D$19,$N$16:$N$18)</f>
        <v>56.55</v>
      </c>
      <c r="O89" s="104">
        <f>SUMPRODUCT($D$31:$D$33,$N$16:$N$18)</f>
        <v>16</v>
      </c>
      <c r="P89" s="104">
        <v>0</v>
      </c>
      <c r="Q89" s="450">
        <f t="shared" si="19"/>
        <v>32.248125894373118</v>
      </c>
      <c r="R89" s="1310">
        <f>(K$15+1-$J$15)*$O$2+25</f>
        <v>105.32653061224489</v>
      </c>
      <c r="S89" s="1310">
        <f>(I89+1-$J$15)*$O$2+$E$14+$E$17+D89*$O$3</f>
        <v>473.76326530612243</v>
      </c>
      <c r="T89" s="1310">
        <v>0</v>
      </c>
      <c r="U89" s="451">
        <f t="shared" si="13"/>
        <v>1</v>
      </c>
      <c r="V89" s="451">
        <f t="shared" si="22"/>
        <v>0.49615286334489889</v>
      </c>
      <c r="W89" s="451">
        <v>0</v>
      </c>
      <c r="X89" s="452">
        <f t="shared" si="23"/>
        <v>1</v>
      </c>
      <c r="Y89" s="447">
        <f t="shared" si="24"/>
        <v>9752.4414498438418</v>
      </c>
      <c r="Z89" s="447">
        <f t="shared" si="14"/>
        <v>5726.5920620124771</v>
      </c>
      <c r="AA89" s="447">
        <f>SUMPRODUCT($F$31:$F$33,$N$16:$N$18)*MIN(Q89/O89,1)*X89</f>
        <v>1759.7269451999114</v>
      </c>
      <c r="AB89" s="447">
        <v>0</v>
      </c>
      <c r="AC89" s="447">
        <v>0</v>
      </c>
      <c r="AD89" s="447">
        <v>0</v>
      </c>
      <c r="AE89" s="447">
        <v>0</v>
      </c>
      <c r="AF89" s="448">
        <f t="shared" si="20"/>
        <v>17238.760457056233</v>
      </c>
      <c r="AG89" s="453">
        <f t="shared" si="25"/>
        <v>534.56627258032916</v>
      </c>
      <c r="AH89" s="454">
        <f t="shared" si="15"/>
        <v>24.301874105626879</v>
      </c>
      <c r="AI89" s="104">
        <f t="shared" si="26"/>
        <v>-16.248125894373118</v>
      </c>
      <c r="AJ89" s="455">
        <v>0</v>
      </c>
      <c r="AK89" s="456"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5">
        <v>2</v>
      </c>
      <c r="D90">
        <v>1</v>
      </c>
      <c r="E90" s="64">
        <v>0</v>
      </c>
      <c r="F90" s="197">
        <v>0</v>
      </c>
      <c r="G90" s="197">
        <v>0</v>
      </c>
      <c r="H90" s="446">
        <f t="shared" si="17"/>
        <v>3</v>
      </c>
      <c r="I90" s="447">
        <f>L$15+N$15+N$15</f>
        <v>11.200000000000001</v>
      </c>
      <c r="J90" s="447">
        <f t="shared" si="21"/>
        <v>449.82857142857148</v>
      </c>
      <c r="K90" s="94">
        <f>SUMPRODUCT($E$15:$E$17,$L$16:$L$18)+SUMPRODUCT($E$17:$E$19,$N$16:$N$18)+SUMPRODUCT($E$31:$E$33,$N$16:$N$18)</f>
        <v>10</v>
      </c>
      <c r="L90" s="448">
        <f t="shared" si="18"/>
        <v>459.82857142857148</v>
      </c>
      <c r="M90" s="457">
        <f>SUMPRODUCT($C$15:$C$17,$L$16:$L$18)+SUMPRODUCT($C$17:$C$19,$N$16:$N$18)+SUMPRODUCT($C$31:$C$33,$N$16:$N$18)</f>
        <v>13</v>
      </c>
      <c r="N90" s="104">
        <f>SUMPRODUCT($D$15:$D$17,$L$16:$L$18)+SUMPRODUCT($D$17:$D$19,$N$16:$N$18)</f>
        <v>60.899999999999991</v>
      </c>
      <c r="O90" s="104">
        <f>SUMPRODUCT($D$31:$D$33,$N$16:$N$18)</f>
        <v>16</v>
      </c>
      <c r="P90" s="104">
        <v>0</v>
      </c>
      <c r="Q90" s="450">
        <f t="shared" si="19"/>
        <v>34.918344982442711</v>
      </c>
      <c r="R90" s="1310">
        <f>(L$15+1-$J$15)*$O$2+25</f>
        <v>145.48979591836735</v>
      </c>
      <c r="S90" s="1310">
        <f>(I90+1-$J$15)*$O$2+$E$15+$E$17+D90*$O$3</f>
        <v>508.9265306122449</v>
      </c>
      <c r="T90" s="1310">
        <v>0</v>
      </c>
      <c r="U90" s="451">
        <f t="shared" si="13"/>
        <v>1</v>
      </c>
      <c r="V90" s="451">
        <f t="shared" si="22"/>
        <v>0.45821186565528688</v>
      </c>
      <c r="W90" s="451">
        <v>0</v>
      </c>
      <c r="X90" s="452">
        <f t="shared" si="23"/>
        <v>1</v>
      </c>
      <c r="Y90" s="447">
        <f t="shared" si="24"/>
        <v>10708.563160612846</v>
      </c>
      <c r="Z90" s="447">
        <f t="shared" si="14"/>
        <v>6200.7670724815862</v>
      </c>
      <c r="AA90" s="447">
        <f>SUMPRODUCT($F$31:$F$33,$N$16:$N$18)*MIN(Q90/O90,1)*X90</f>
        <v>1759.7269451999114</v>
      </c>
      <c r="AB90" s="447">
        <v>0</v>
      </c>
      <c r="AC90" s="447">
        <v>0</v>
      </c>
      <c r="AD90" s="447">
        <v>0</v>
      </c>
      <c r="AE90" s="447">
        <v>0</v>
      </c>
      <c r="AF90" s="448">
        <f t="shared" si="20"/>
        <v>18669.057178294344</v>
      </c>
      <c r="AG90" s="453">
        <f t="shared" si="25"/>
        <v>534.64896998071731</v>
      </c>
      <c r="AH90" s="454">
        <f t="shared" si="15"/>
        <v>25.98165501755728</v>
      </c>
      <c r="AI90" s="104">
        <f t="shared" si="26"/>
        <v>-18.918344982442711</v>
      </c>
      <c r="AJ90" s="455">
        <v>0</v>
      </c>
      <c r="AK90" s="456"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5">
        <v>1</v>
      </c>
      <c r="D91">
        <v>1</v>
      </c>
      <c r="E91">
        <v>1</v>
      </c>
      <c r="F91" s="197">
        <v>0</v>
      </c>
      <c r="G91" s="197">
        <v>0</v>
      </c>
      <c r="H91" s="446">
        <f t="shared" si="17"/>
        <v>3</v>
      </c>
      <c r="I91" s="447">
        <f>J$15+L$15+L$15</f>
        <v>5.1999999999999993</v>
      </c>
      <c r="J91" s="447">
        <f t="shared" si="21"/>
        <v>208.8489795918367</v>
      </c>
      <c r="K91" s="94">
        <f>SUMPRODUCT($E$13:$E$15,$J$16:$J$18)+SUMPRODUCT($E$29:$E$31,$L$16:$L$18)+SUMPRODUCT($E$22:$E$24,$L$16:$L$18)</f>
        <v>50</v>
      </c>
      <c r="L91" s="448">
        <f t="shared" si="18"/>
        <v>258.84897959183672</v>
      </c>
      <c r="M91" s="457">
        <f>SUMPRODUCT($C$13:$C$15,$J$16:$J$18)+SUMPRODUCT($C$29:$C$31,$L$16:$L$18)+SUMPRODUCT($C$22:$C$24,$L$16:$L$18)</f>
        <v>7</v>
      </c>
      <c r="N91" s="104">
        <f>SUMPRODUCT($D$13:$D$15,$J$16:$J$18)</f>
        <v>17.399999999999999</v>
      </c>
      <c r="O91" s="104">
        <f>SUMPRODUCT($D$29:$D$31,$L$16:$L$18)</f>
        <v>12</v>
      </c>
      <c r="P91" s="104">
        <v>0</v>
      </c>
      <c r="Q91" s="450">
        <f t="shared" si="19"/>
        <v>19.797223273709182</v>
      </c>
      <c r="R91" s="1310">
        <f>(J$15+1-$J$15)*$O$2+25</f>
        <v>65.16326530612244</v>
      </c>
      <c r="S91" s="1310">
        <f>(J$15+L$15+1-$J$15)*$O$2+$E$13+D91*$O$3</f>
        <v>181.55510204081631</v>
      </c>
      <c r="T91" s="1310">
        <v>0</v>
      </c>
      <c r="U91" s="451">
        <f t="shared" si="13"/>
        <v>0.87891113614439509</v>
      </c>
      <c r="V91" s="451">
        <f t="shared" si="22"/>
        <v>0.60614561113406562</v>
      </c>
      <c r="W91" s="451">
        <v>0</v>
      </c>
      <c r="X91" s="452">
        <f t="shared" si="23"/>
        <v>1</v>
      </c>
      <c r="Y91" s="447">
        <f t="shared" si="24"/>
        <v>4971.8328959988194</v>
      </c>
      <c r="Z91" s="447">
        <f t="shared" si="14"/>
        <v>3089.8757405435285</v>
      </c>
      <c r="AA91" s="447">
        <f>SUMPRODUCT($F$29:$F$31,$L$16:$L$18)*MIN(Q91/O91,1)*X91</f>
        <v>1187.7952088999336</v>
      </c>
      <c r="AB91">
        <f t="shared" ref="AB91:AB105" si="28">SUMPRODUCT($F$22:$F$24,$L$16:$L$18)*X91</f>
        <v>921.65006995070587</v>
      </c>
      <c r="AC91" s="447">
        <v>0</v>
      </c>
      <c r="AD91" s="447">
        <v>0</v>
      </c>
      <c r="AE91" s="447">
        <v>0</v>
      </c>
      <c r="AF91" s="448">
        <f t="shared" si="20"/>
        <v>10171.153915392986</v>
      </c>
      <c r="AG91" s="453">
        <f t="shared" si="25"/>
        <v>513.76669216537721</v>
      </c>
      <c r="AH91" s="454">
        <f t="shared" si="15"/>
        <v>-2.3972232737091836</v>
      </c>
      <c r="AI91" s="104">
        <f t="shared" si="26"/>
        <v>-7.7972232737091822</v>
      </c>
      <c r="AJ91" s="455">
        <v>0</v>
      </c>
      <c r="AK91" s="456"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5">
        <v>1</v>
      </c>
      <c r="D92">
        <v>1</v>
      </c>
      <c r="E92">
        <v>1</v>
      </c>
      <c r="F92" s="197">
        <v>0</v>
      </c>
      <c r="G92" s="197">
        <v>0</v>
      </c>
      <c r="H92" s="446">
        <f t="shared" si="17"/>
        <v>3</v>
      </c>
      <c r="I92" s="447">
        <f>K$15+L$15+L$15</f>
        <v>6.1999999999999993</v>
      </c>
      <c r="J92" s="447">
        <f t="shared" si="21"/>
        <v>249.01224489795914</v>
      </c>
      <c r="K92" s="94">
        <f>SUMPRODUCT($E$14:$E$16,$K$16:$K$18)+SUMPRODUCT($E$29:$E$31,$L$16:$L$18)+SUMPRODUCT($E$22:$E$24,$L$16:$L$18)</f>
        <v>45</v>
      </c>
      <c r="L92" s="448">
        <f t="shared" si="18"/>
        <v>294.01224489795914</v>
      </c>
      <c r="M92" s="457">
        <f>SUMPRODUCT($C$14:$C$16,$K$16:$K$18)+SUMPRODUCT($C$29:$C$31,$L$16:$L$18)+SUMPRODUCT($C$22:$C$24,$L$16:$L$18)</f>
        <v>8</v>
      </c>
      <c r="N92" s="104">
        <f>SUMPRODUCT($D$14:$D$16,$K$16:$K$18)</f>
        <v>21.75</v>
      </c>
      <c r="O92" s="104">
        <f>SUMPRODUCT($D$29:$D$31,$L$16:$L$18)</f>
        <v>12</v>
      </c>
      <c r="P92" s="104">
        <v>0</v>
      </c>
      <c r="Q92" s="450">
        <f t="shared" si="19"/>
        <v>22.362612484772807</v>
      </c>
      <c r="R92" s="1310">
        <f>(K$15+1-$J$15)*$O$2+25</f>
        <v>105.32653061224489</v>
      </c>
      <c r="S92" s="1310">
        <f>(K$15+L$15+1-$J$15)*$O$2+$E$14+D92*$O$3</f>
        <v>216.71836734693878</v>
      </c>
      <c r="T92" s="1310">
        <v>0</v>
      </c>
      <c r="U92" s="451">
        <f t="shared" si="13"/>
        <v>0.9726055046032771</v>
      </c>
      <c r="V92" s="451">
        <f t="shared" si="22"/>
        <v>0.53660993357422182</v>
      </c>
      <c r="W92" s="451">
        <v>0</v>
      </c>
      <c r="X92" s="452">
        <f t="shared" si="23"/>
        <v>1</v>
      </c>
      <c r="Y92" s="447">
        <f t="shared" si="24"/>
        <v>5927.9546067678239</v>
      </c>
      <c r="Z92" s="447">
        <f t="shared" si="14"/>
        <v>3862.3446756794115</v>
      </c>
      <c r="AA92" s="447">
        <f>SUMPRODUCT($F$29:$F$31,$L$16:$L$18)*MIN(Q92/O92,1)*X92</f>
        <v>1187.7952088999336</v>
      </c>
      <c r="AB92">
        <f t="shared" si="28"/>
        <v>921.65006995070587</v>
      </c>
      <c r="AC92" s="447">
        <v>0</v>
      </c>
      <c r="AD92" s="447">
        <v>0</v>
      </c>
      <c r="AE92" s="447">
        <v>0</v>
      </c>
      <c r="AF92" s="448">
        <f t="shared" si="20"/>
        <v>11899.744561297874</v>
      </c>
      <c r="AG92" s="453">
        <f t="shared" si="25"/>
        <v>532.12676154902158</v>
      </c>
      <c r="AH92" s="454">
        <f t="shared" si="15"/>
        <v>-0.61261248477280716</v>
      </c>
      <c r="AI92" s="104">
        <f t="shared" si="26"/>
        <v>-10.362612484772807</v>
      </c>
      <c r="AJ92" s="455">
        <v>0</v>
      </c>
      <c r="AK92" s="456"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5">
        <v>1</v>
      </c>
      <c r="D93">
        <v>1</v>
      </c>
      <c r="E93">
        <v>1</v>
      </c>
      <c r="F93" s="197">
        <v>0</v>
      </c>
      <c r="G93" s="197">
        <v>0</v>
      </c>
      <c r="H93" s="446">
        <f t="shared" si="17"/>
        <v>3</v>
      </c>
      <c r="I93" s="447">
        <f>L$15+L$15+L$15</f>
        <v>7.1999999999999993</v>
      </c>
      <c r="J93" s="447">
        <f t="shared" si="21"/>
        <v>289.1755102040816</v>
      </c>
      <c r="K93" s="94">
        <f>SUMPRODUCT($E$15:$E$17,$L$16:$L$18)+SUMPRODUCT($E$29:$E$31,$L$16:$L$18)+SUMPRODUCT($E$22:$E$24,$L$16:$L$18)</f>
        <v>40</v>
      </c>
      <c r="L93" s="448">
        <f t="shared" si="18"/>
        <v>329.1755102040816</v>
      </c>
      <c r="M93" s="457">
        <f>SUMPRODUCT($C$15:$C$17,$L$16:$L$18)+SUMPRODUCT($C$29:$C$31,$L$16:$L$18)+SUMPRODUCT($C$22:$C$24,$L$16:$L$18)</f>
        <v>9</v>
      </c>
      <c r="N93" s="104">
        <f>SUMPRODUCT($D$15:$D$17,$L$16:$L$18)</f>
        <v>26.099999999999998</v>
      </c>
      <c r="O93" s="104">
        <f>SUMPRODUCT($D$29:$D$31,$L$16:$L$18)</f>
        <v>12</v>
      </c>
      <c r="P93" s="104">
        <v>0</v>
      </c>
      <c r="Q93" s="450">
        <f t="shared" si="19"/>
        <v>24.996846084113326</v>
      </c>
      <c r="R93" s="1310">
        <f>(L$15+1-$J$15)*$O$2+25</f>
        <v>145.48979591836735</v>
      </c>
      <c r="S93" s="1310">
        <f>(L$15+L$15+1-$J$15)*$O$2+$E$15+D93*$O$3</f>
        <v>251.88163265306122</v>
      </c>
      <c r="T93" s="1310">
        <v>0</v>
      </c>
      <c r="U93" s="451">
        <f t="shared" ref="U93:U124" si="29">IF(N93&gt;0,MIN(1,N93/Q93),0)</f>
        <v>1</v>
      </c>
      <c r="V93" s="451">
        <f t="shared" si="22"/>
        <v>0.48006056282542642</v>
      </c>
      <c r="W93" s="451">
        <v>0</v>
      </c>
      <c r="X93" s="452">
        <f t="shared" si="23"/>
        <v>1</v>
      </c>
      <c r="Y93" s="447">
        <f t="shared" si="24"/>
        <v>6884.0763175368284</v>
      </c>
      <c r="Z93" s="447">
        <f t="shared" ref="Z93:Z124" si="30">Q93*U93*$O$6*(sndfact-1)*$K$4</f>
        <v>4438.9165692759934</v>
      </c>
      <c r="AA93" s="447">
        <f>SUMPRODUCT($F$29:$F$31,$L$16:$L$18)*MIN(Q93/O93,1)*X93</f>
        <v>1187.7952088999336</v>
      </c>
      <c r="AB93">
        <f t="shared" si="28"/>
        <v>921.65006995070587</v>
      </c>
      <c r="AC93" s="447">
        <v>0</v>
      </c>
      <c r="AD93" s="447">
        <v>0</v>
      </c>
      <c r="AE93" s="447">
        <v>0</v>
      </c>
      <c r="AF93" s="448">
        <f t="shared" si="20"/>
        <v>13432.438165663461</v>
      </c>
      <c r="AG93" s="453">
        <f t="shared" si="25"/>
        <v>537.36531882717838</v>
      </c>
      <c r="AH93" s="454">
        <f t="shared" ref="AH93:AH124" si="31">N93-$Q93</f>
        <v>1.1031539158866721</v>
      </c>
      <c r="AI93" s="104">
        <f t="shared" si="26"/>
        <v>-12.996846084113326</v>
      </c>
      <c r="AJ93" s="455">
        <v>0</v>
      </c>
      <c r="AK93" s="456"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5">
        <v>1</v>
      </c>
      <c r="D94">
        <v>1</v>
      </c>
      <c r="E94">
        <v>1</v>
      </c>
      <c r="F94" s="197">
        <v>0</v>
      </c>
      <c r="G94" s="197">
        <v>0</v>
      </c>
      <c r="H94" s="446">
        <f t="shared" si="17"/>
        <v>3</v>
      </c>
      <c r="I94" s="447">
        <f>M$15+L$15+L$15</f>
        <v>8.1999999999999993</v>
      </c>
      <c r="J94" s="447">
        <f t="shared" si="21"/>
        <v>329.33877551020402</v>
      </c>
      <c r="K94" s="94">
        <f>SUMPRODUCT($E$16:$E$18,$M$16:$M$18)+SUMPRODUCT($E$29:$E$31,$L$16:$L$18)+SUMPRODUCT($E$22:$E$24,$L$16:$L$18)</f>
        <v>35</v>
      </c>
      <c r="L94" s="448">
        <f t="shared" si="18"/>
        <v>364.33877551020402</v>
      </c>
      <c r="M94" s="457">
        <f>SUMPRODUCT($C$16:$C$18,$M$16:$M$18)+SUMPRODUCT($C$29:$C$31,$L$16:$L$18)+SUMPRODUCT($C$22:$C$24,$L$16:$L$18)</f>
        <v>10</v>
      </c>
      <c r="N94" s="104">
        <f>SUMPRODUCT($D$16:$D$18,$M$16:$M$18)</f>
        <v>30.45</v>
      </c>
      <c r="O94" s="104">
        <f>SUMPRODUCT($D$29:$D$31,$L$16:$L$18)</f>
        <v>12</v>
      </c>
      <c r="P94" s="104">
        <v>0</v>
      </c>
      <c r="Q94" s="450">
        <f t="shared" si="19"/>
        <v>27.667065172182912</v>
      </c>
      <c r="R94" s="1310">
        <f>(M$15+1-$J$15)*$O$2+25</f>
        <v>185.65306122448979</v>
      </c>
      <c r="S94" s="1310">
        <f>(M$15+L$15+1-$J$15)*$O$2+$E$16+D94*$O$3</f>
        <v>287.04489795918369</v>
      </c>
      <c r="T94" s="1310">
        <v>0</v>
      </c>
      <c r="U94" s="451">
        <f t="shared" si="29"/>
        <v>1</v>
      </c>
      <c r="V94" s="451">
        <f t="shared" si="22"/>
        <v>0.43372869241169348</v>
      </c>
      <c r="W94" s="451">
        <v>0</v>
      </c>
      <c r="X94" s="452">
        <f t="shared" si="23"/>
        <v>1</v>
      </c>
      <c r="Y94" s="447">
        <f t="shared" si="24"/>
        <v>7840.1980283058319</v>
      </c>
      <c r="Z94" s="447">
        <f t="shared" si="30"/>
        <v>4913.0915797451016</v>
      </c>
      <c r="AA94" s="447">
        <f>SUMPRODUCT($F$29:$F$31,$L$16:$L$18)*MIN(Q94/O94,1)*X94</f>
        <v>1187.7952088999336</v>
      </c>
      <c r="AB94">
        <f t="shared" si="28"/>
        <v>921.65006995070587</v>
      </c>
      <c r="AC94" s="447">
        <v>0</v>
      </c>
      <c r="AD94" s="447">
        <v>0</v>
      </c>
      <c r="AE94" s="447">
        <v>0</v>
      </c>
      <c r="AF94" s="448">
        <f t="shared" si="20"/>
        <v>14862.734886901573</v>
      </c>
      <c r="AG94" s="453">
        <f t="shared" si="25"/>
        <v>537.19954734645648</v>
      </c>
      <c r="AH94" s="454">
        <f t="shared" si="31"/>
        <v>2.7829348278170869</v>
      </c>
      <c r="AI94" s="104">
        <f t="shared" si="26"/>
        <v>-15.667065172182912</v>
      </c>
      <c r="AJ94" s="455">
        <v>0</v>
      </c>
      <c r="AK94" s="456"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5">
        <v>1</v>
      </c>
      <c r="D95">
        <v>1</v>
      </c>
      <c r="E95">
        <v>1</v>
      </c>
      <c r="F95" s="197">
        <v>0</v>
      </c>
      <c r="G95" s="197">
        <v>0</v>
      </c>
      <c r="H95" s="446">
        <f t="shared" si="17"/>
        <v>3</v>
      </c>
      <c r="I95" s="447">
        <f>N$15+L$15+L$15</f>
        <v>9.2000000000000011</v>
      </c>
      <c r="J95" s="447">
        <f t="shared" si="21"/>
        <v>369.50204081632654</v>
      </c>
      <c r="K95" s="94">
        <f>SUMPRODUCT($E$17:$E$19,$N$16:$N$18)+SUMPRODUCT($E$29:$E$31,$L$16:$L$18)+SUMPRODUCT($E$22:$E$24,$L$16:$L$18)</f>
        <v>30</v>
      </c>
      <c r="L95" s="448">
        <f t="shared" si="18"/>
        <v>399.50204081632654</v>
      </c>
      <c r="M95" s="457">
        <f>SUMPRODUCT($C$17:$C$19,$N$16:$N$18)+SUMPRODUCT($C$29:$C$31,$L$16:$L$18)+SUMPRODUCT($C$22:$C$24,$L$16:$L$18)</f>
        <v>11</v>
      </c>
      <c r="N95" s="104">
        <f>SUMPRODUCT($D$17:$D$19,$N$16:$N$18)</f>
        <v>34.799999999999997</v>
      </c>
      <c r="O95" s="104">
        <f>SUMPRODUCT($D$29:$D$31,$L$16:$L$18)</f>
        <v>12</v>
      </c>
      <c r="P95" s="104">
        <v>0</v>
      </c>
      <c r="Q95" s="450">
        <f t="shared" ref="Q95:Q100" si="32">IF(N95&gt;L95/sndeps,L95/sndeps,N95+(L95/sndeps-N95)*sndeps/eps)</f>
        <v>30.33728426025251</v>
      </c>
      <c r="R95" s="1310">
        <f>(N$15+1-$J$15)*$O$2+25</f>
        <v>225.81632653061223</v>
      </c>
      <c r="S95" s="1310">
        <f>(N$15+L$15+1-$J$15)*$O$2+$E$17+D95*$O$3</f>
        <v>322.2081632653061</v>
      </c>
      <c r="T95" s="1310">
        <v>0</v>
      </c>
      <c r="U95" s="451">
        <f t="shared" si="29"/>
        <v>1</v>
      </c>
      <c r="V95" s="451">
        <f t="shared" si="22"/>
        <v>0.39555287470876999</v>
      </c>
      <c r="W95" s="451">
        <v>0</v>
      </c>
      <c r="X95" s="452">
        <f t="shared" si="23"/>
        <v>1</v>
      </c>
      <c r="Y95" s="447">
        <f t="shared" si="24"/>
        <v>8796.3197390748373</v>
      </c>
      <c r="Z95" s="447">
        <f t="shared" si="30"/>
        <v>5387.2665902142116</v>
      </c>
      <c r="AA95" s="447">
        <f>SUMPRODUCT($F$29:$F$31,$L$16:$L$18)*MIN(Q95/O95,1)*X95</f>
        <v>1187.7952088999336</v>
      </c>
      <c r="AB95">
        <f t="shared" si="28"/>
        <v>921.65006995070587</v>
      </c>
      <c r="AC95" s="447">
        <v>0</v>
      </c>
      <c r="AD95" s="447">
        <v>0</v>
      </c>
      <c r="AE95" s="447">
        <v>0</v>
      </c>
      <c r="AF95" s="448">
        <f t="shared" si="20"/>
        <v>16293.031608139689</v>
      </c>
      <c r="AG95" s="453">
        <f t="shared" si="25"/>
        <v>537.06295752670894</v>
      </c>
      <c r="AH95" s="454">
        <f t="shared" si="31"/>
        <v>4.4627157397474875</v>
      </c>
      <c r="AI95" s="104">
        <f t="shared" si="26"/>
        <v>-18.33728426025251</v>
      </c>
      <c r="AJ95" s="455">
        <v>0</v>
      </c>
      <c r="AK95" s="456"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5">
        <v>1</v>
      </c>
      <c r="D96">
        <v>1</v>
      </c>
      <c r="E96">
        <v>1</v>
      </c>
      <c r="F96" s="197">
        <v>0</v>
      </c>
      <c r="G96" s="197">
        <v>0</v>
      </c>
      <c r="H96" s="446">
        <f t="shared" si="17"/>
        <v>3</v>
      </c>
      <c r="I96" s="447">
        <f>J$15+M$15+L$15</f>
        <v>6.1999999999999993</v>
      </c>
      <c r="J96" s="447">
        <f t="shared" si="21"/>
        <v>249.01224489795914</v>
      </c>
      <c r="K96" s="94">
        <f>SUMPRODUCT($E$13:$E$15,$J$16:$J$18)+SUMPRODUCT($E$30:$E$32,$M$16:$M$18)+SUMPRODUCT($E$22:$E$24,$L$16:$L$18)</f>
        <v>45</v>
      </c>
      <c r="L96" s="448">
        <f t="shared" si="18"/>
        <v>294.01224489795914</v>
      </c>
      <c r="M96" s="457">
        <f>SUMPRODUCT($C$13:$C$15,$J$16:$J$18)+SUMPRODUCT($C$30:$C$32,$M$16:$M$18)+SUMPRODUCT($C$22:$C$24,$L$16:$L$18)</f>
        <v>8</v>
      </c>
      <c r="N96" s="104">
        <f>SUMPRODUCT($D$13:$D$15,$J$16:$J$18)</f>
        <v>17.399999999999999</v>
      </c>
      <c r="O96" s="104">
        <f>SUMPRODUCT($D$30:$D$32,$M$16:$M$18)</f>
        <v>14</v>
      </c>
      <c r="P96" s="104">
        <v>0</v>
      </c>
      <c r="Q96" s="450">
        <f t="shared" si="32"/>
        <v>22.634082390006995</v>
      </c>
      <c r="R96" s="1310">
        <f>(J$15+1-$J$15)*$O$2+25</f>
        <v>65.16326530612244</v>
      </c>
      <c r="S96" s="1310">
        <f>(J$15+M$15+1-$J$15)*$O$2+$E$13+D96*$O$3</f>
        <v>221.71836734693878</v>
      </c>
      <c r="T96" s="1310">
        <v>0</v>
      </c>
      <c r="U96" s="451">
        <f t="shared" si="29"/>
        <v>0.76875217206429114</v>
      </c>
      <c r="V96" s="451">
        <f t="shared" si="22"/>
        <v>0.61853623039655614</v>
      </c>
      <c r="W96" s="451">
        <v>0</v>
      </c>
      <c r="X96" s="452">
        <f t="shared" si="23"/>
        <v>1</v>
      </c>
      <c r="Y96" s="447">
        <f t="shared" si="24"/>
        <v>5927.9546067678239</v>
      </c>
      <c r="Z96" s="447">
        <f t="shared" si="30"/>
        <v>3089.8757405435285</v>
      </c>
      <c r="AA96" s="447">
        <f>SUMPRODUCT($F$30:$F$32,$M$16:$M$18)*MIN(Q96/O96,1)*X96</f>
        <v>1462.7610770499225</v>
      </c>
      <c r="AB96">
        <f t="shared" si="28"/>
        <v>921.65006995070587</v>
      </c>
      <c r="AC96" s="447">
        <v>0</v>
      </c>
      <c r="AD96" s="447">
        <v>0</v>
      </c>
      <c r="AE96" s="447">
        <v>0</v>
      </c>
      <c r="AF96" s="448">
        <f t="shared" si="20"/>
        <v>11402.24149431198</v>
      </c>
      <c r="AG96" s="453">
        <f t="shared" si="25"/>
        <v>503.76424799735196</v>
      </c>
      <c r="AH96" s="454">
        <f t="shared" si="31"/>
        <v>-5.2340823900069964</v>
      </c>
      <c r="AI96" s="104">
        <f t="shared" si="26"/>
        <v>-8.634082390006995</v>
      </c>
      <c r="AJ96" s="455">
        <v>0</v>
      </c>
      <c r="AK96" s="456"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5">
        <v>1</v>
      </c>
      <c r="D97">
        <v>1</v>
      </c>
      <c r="E97">
        <v>1</v>
      </c>
      <c r="F97" s="197">
        <v>0</v>
      </c>
      <c r="G97" s="197">
        <v>0</v>
      </c>
      <c r="H97" s="446">
        <f t="shared" si="17"/>
        <v>3</v>
      </c>
      <c r="I97" s="447">
        <f>K$15+M$15+L$15</f>
        <v>7.1999999999999993</v>
      </c>
      <c r="J97" s="447">
        <f t="shared" si="21"/>
        <v>289.1755102040816</v>
      </c>
      <c r="K97" s="94">
        <f>SUMPRODUCT($E$14:$E$16,$K$16:$K$18)+SUMPRODUCT($E$30:$E$32,$M$16:$M$18)+SUMPRODUCT($E$22:$E$24,$L$16:$L$18)</f>
        <v>40</v>
      </c>
      <c r="L97" s="448">
        <f t="shared" si="18"/>
        <v>329.1755102040816</v>
      </c>
      <c r="M97" s="457">
        <f>SUMPRODUCT($C$14:$C$16,$K$16:$K$18)+SUMPRODUCT($C$30:$C$32,$M$16:$M$18)+SUMPRODUCT($C$22:$C$24,$L$16:$L$18)</f>
        <v>9</v>
      </c>
      <c r="N97" s="104">
        <f>SUMPRODUCT($D$14:$D$16,$K$16:$K$18)</f>
        <v>21.75</v>
      </c>
      <c r="O97" s="104">
        <f>SUMPRODUCT($D$30:$D$32,$M$16:$M$18)</f>
        <v>14</v>
      </c>
      <c r="P97" s="104">
        <v>0</v>
      </c>
      <c r="Q97" s="450">
        <f t="shared" si="32"/>
        <v>25.19947160107062</v>
      </c>
      <c r="R97" s="1310">
        <f>(K$15+1-$J$15)*$O$2+25</f>
        <v>105.32653061224489</v>
      </c>
      <c r="S97" s="1310">
        <f>(K$15+M$15+1-$J$15)*$O$2+$E$14+D97*$O$3</f>
        <v>256.88163265306122</v>
      </c>
      <c r="T97" s="1310">
        <v>0</v>
      </c>
      <c r="U97" s="451">
        <f t="shared" si="29"/>
        <v>0.86311333603820228</v>
      </c>
      <c r="V97" s="451">
        <f t="shared" si="22"/>
        <v>0.55556720480619914</v>
      </c>
      <c r="W97" s="451">
        <v>0</v>
      </c>
      <c r="X97" s="452">
        <f t="shared" si="23"/>
        <v>1</v>
      </c>
      <c r="Y97" s="447">
        <f t="shared" si="24"/>
        <v>6884.0763175368284</v>
      </c>
      <c r="Z97" s="447">
        <f t="shared" si="30"/>
        <v>3862.3446756794115</v>
      </c>
      <c r="AA97" s="447">
        <f>SUMPRODUCT($F$30:$F$32,$M$16:$M$18)*MIN(Q97/O97,1)*X97</f>
        <v>1462.7610770499225</v>
      </c>
      <c r="AB97">
        <f t="shared" si="28"/>
        <v>921.65006995070587</v>
      </c>
      <c r="AC97" s="447">
        <v>0</v>
      </c>
      <c r="AD97" s="447">
        <v>0</v>
      </c>
      <c r="AE97" s="447">
        <v>0</v>
      </c>
      <c r="AF97" s="448">
        <f t="shared" si="20"/>
        <v>13130.832140216868</v>
      </c>
      <c r="AG97" s="453">
        <f t="shared" si="25"/>
        <v>521.07569349426331</v>
      </c>
      <c r="AH97" s="454">
        <f t="shared" si="31"/>
        <v>-3.4494716010706199</v>
      </c>
      <c r="AI97" s="104">
        <f t="shared" si="26"/>
        <v>-11.19947160107062</v>
      </c>
      <c r="AJ97" s="455">
        <v>0</v>
      </c>
      <c r="AK97" s="456"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5">
        <v>1</v>
      </c>
      <c r="D98">
        <v>1</v>
      </c>
      <c r="E98">
        <v>1</v>
      </c>
      <c r="F98" s="197">
        <v>0</v>
      </c>
      <c r="G98" s="197">
        <v>0</v>
      </c>
      <c r="H98" s="446">
        <f t="shared" si="17"/>
        <v>3</v>
      </c>
      <c r="I98" s="447">
        <f>L$15+M$15+L$15</f>
        <v>8.1999999999999993</v>
      </c>
      <c r="J98" s="447">
        <f t="shared" si="21"/>
        <v>329.33877551020402</v>
      </c>
      <c r="K98" s="94">
        <f>SUMPRODUCT($E$15:$E$17,$L$16:$L$18)+SUMPRODUCT($E$30:$E$32,$M$16:$M$18)+SUMPRODUCT($E$22:$E$24,$L$16:$L$18)</f>
        <v>35</v>
      </c>
      <c r="L98" s="448">
        <f t="shared" si="18"/>
        <v>364.33877551020402</v>
      </c>
      <c r="M98" s="457">
        <f>SUMPRODUCT($C$15:$C$17,$L$16:$L$18)+SUMPRODUCT($C$30:$C$32,$M$16:$M$18)+SUMPRODUCT($C$22:$C$24,$L$16:$L$18)</f>
        <v>10</v>
      </c>
      <c r="N98" s="104">
        <f>SUMPRODUCT($D$15:$D$17,$L$16:$L$18)</f>
        <v>26.099999999999998</v>
      </c>
      <c r="O98" s="104">
        <f>SUMPRODUCT($D$30:$D$32,$M$16:$M$18)</f>
        <v>14</v>
      </c>
      <c r="P98" s="104">
        <v>0</v>
      </c>
      <c r="Q98" s="450">
        <f t="shared" si="32"/>
        <v>27.764860812134245</v>
      </c>
      <c r="R98" s="1310">
        <f>(L$15+1-$J$15)*$O$2+25</f>
        <v>145.48979591836735</v>
      </c>
      <c r="S98" s="1310">
        <f>(L$15+M$15+1-$J$15)*$O$2+$E$15+D98*$O$3</f>
        <v>292.04489795918369</v>
      </c>
      <c r="T98" s="1310">
        <v>0</v>
      </c>
      <c r="U98" s="451">
        <f t="shared" si="29"/>
        <v>0.94003712738200929</v>
      </c>
      <c r="V98" s="451">
        <f t="shared" si="22"/>
        <v>0.5042344744577828</v>
      </c>
      <c r="W98" s="451">
        <v>0</v>
      </c>
      <c r="X98" s="452">
        <f t="shared" si="23"/>
        <v>1</v>
      </c>
      <c r="Y98" s="447">
        <f t="shared" si="24"/>
        <v>7840.1980283058319</v>
      </c>
      <c r="Z98" s="447">
        <f t="shared" si="30"/>
        <v>4634.813610815293</v>
      </c>
      <c r="AA98" s="447">
        <f>SUMPRODUCT($F$30:$F$32,$M$16:$M$18)*MIN(Q98/O98,1)*X98</f>
        <v>1462.7610770499225</v>
      </c>
      <c r="AB98">
        <f t="shared" si="28"/>
        <v>921.65006995070587</v>
      </c>
      <c r="AC98" s="447">
        <v>0</v>
      </c>
      <c r="AD98" s="447">
        <v>0</v>
      </c>
      <c r="AE98" s="447">
        <v>0</v>
      </c>
      <c r="AF98" s="448">
        <f t="shared" si="20"/>
        <v>14859.422786121753</v>
      </c>
      <c r="AG98" s="453">
        <f t="shared" si="25"/>
        <v>535.18808852186464</v>
      </c>
      <c r="AH98" s="454">
        <f t="shared" si="31"/>
        <v>-1.664860812134247</v>
      </c>
      <c r="AI98" s="104">
        <f t="shared" si="26"/>
        <v>-13.764860812134245</v>
      </c>
      <c r="AJ98" s="455">
        <v>0</v>
      </c>
      <c r="AK98" s="456"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5">
        <v>1</v>
      </c>
      <c r="D99">
        <v>1</v>
      </c>
      <c r="E99">
        <v>1</v>
      </c>
      <c r="F99" s="197">
        <v>0</v>
      </c>
      <c r="G99" s="197">
        <v>0</v>
      </c>
      <c r="H99" s="446">
        <f t="shared" si="17"/>
        <v>3</v>
      </c>
      <c r="I99" s="447">
        <f>M$15+M$15+L$15</f>
        <v>9.1999999999999993</v>
      </c>
      <c r="J99" s="447">
        <f t="shared" si="21"/>
        <v>369.50204081632648</v>
      </c>
      <c r="K99" s="94">
        <f>SUMPRODUCT($E$16:$E$18,$M$16:$M$18)+SUMPRODUCT($E$30:$E$32,$M$16:$M$18)+SUMPRODUCT($E$22:$E$24,$L$16:$L$18)</f>
        <v>30</v>
      </c>
      <c r="L99" s="448">
        <f t="shared" si="18"/>
        <v>399.50204081632648</v>
      </c>
      <c r="M99" s="457">
        <f>SUMPRODUCT($C$16:$C$18,$M$16:$M$18)+SUMPRODUCT($C$30:$C$32,$M$16:$M$18)+SUMPRODUCT($C$22:$C$24,$L$16:$L$18)</f>
        <v>11</v>
      </c>
      <c r="N99" s="104">
        <f>SUMPRODUCT($D$16:$D$18,$M$16:$M$18)</f>
        <v>30.45</v>
      </c>
      <c r="O99" s="104">
        <f>SUMPRODUCT($D$30:$D$32,$M$16:$M$18)</f>
        <v>14</v>
      </c>
      <c r="P99" s="104">
        <v>0</v>
      </c>
      <c r="Q99" s="450">
        <f t="shared" si="32"/>
        <v>30.337284260252506</v>
      </c>
      <c r="R99" s="1310">
        <f>(M$15+1-$J$15)*$O$2+25</f>
        <v>185.65306122448979</v>
      </c>
      <c r="S99" s="1310">
        <f>(M$15+M$15+1-$J$15)*$O$2+$E$16+D99*$O$3</f>
        <v>327.2081632653061</v>
      </c>
      <c r="T99" s="1310">
        <v>0</v>
      </c>
      <c r="U99" s="451">
        <f t="shared" si="29"/>
        <v>1</v>
      </c>
      <c r="V99" s="451">
        <f t="shared" si="22"/>
        <v>0.46147835382689834</v>
      </c>
      <c r="W99" s="451">
        <v>0</v>
      </c>
      <c r="X99" s="452">
        <f t="shared" si="23"/>
        <v>1</v>
      </c>
      <c r="Y99" s="447">
        <f t="shared" si="24"/>
        <v>8796.3197390748355</v>
      </c>
      <c r="Z99" s="447">
        <f t="shared" si="30"/>
        <v>5387.2665902142107</v>
      </c>
      <c r="AA99" s="447">
        <f>SUMPRODUCT($F$30:$F$32,$M$16:$M$18)*MIN(Q99/O99,1)*X99</f>
        <v>1462.7610770499225</v>
      </c>
      <c r="AB99">
        <f t="shared" si="28"/>
        <v>921.65006995070587</v>
      </c>
      <c r="AC99" s="447">
        <v>0</v>
      </c>
      <c r="AD99" s="447">
        <v>0</v>
      </c>
      <c r="AE99" s="447">
        <v>0</v>
      </c>
      <c r="AF99" s="448">
        <f t="shared" si="20"/>
        <v>16567.997476289675</v>
      </c>
      <c r="AG99" s="453">
        <f t="shared" si="25"/>
        <v>546.12658582616893</v>
      </c>
      <c r="AH99" s="454">
        <f t="shared" si="31"/>
        <v>0.11271573974749316</v>
      </c>
      <c r="AI99" s="104">
        <f t="shared" si="26"/>
        <v>-16.337284260252506</v>
      </c>
      <c r="AJ99" s="455">
        <v>0</v>
      </c>
      <c r="AK99" s="456"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5">
        <v>1</v>
      </c>
      <c r="D100">
        <v>1</v>
      </c>
      <c r="E100">
        <v>1</v>
      </c>
      <c r="F100" s="197">
        <v>0</v>
      </c>
      <c r="G100" s="197">
        <v>0</v>
      </c>
      <c r="H100" s="446">
        <f t="shared" si="17"/>
        <v>3</v>
      </c>
      <c r="I100" s="447">
        <f>N$15+M$15+L$15</f>
        <v>10.200000000000001</v>
      </c>
      <c r="J100" s="447">
        <f t="shared" si="21"/>
        <v>409.66530612244901</v>
      </c>
      <c r="K100" s="94">
        <f>SUMPRODUCT($E$17:$E$19,$N$16:$N$18)+SUMPRODUCT($E$30:$E$32,$M$16:$M$18)+SUMPRODUCT($E$22:$E$24,$L$16:$L$18)</f>
        <v>25</v>
      </c>
      <c r="L100" s="448">
        <f t="shared" si="18"/>
        <v>434.66530612244901</v>
      </c>
      <c r="M100" s="457">
        <f>SUMPRODUCT($C$17:$C$19,$N$16:$N$18)+SUMPRODUCT($C$30:$C$32,$M$16:$M$18)+SUMPRODUCT($C$22:$C$24,$L$16:$L$18)</f>
        <v>12</v>
      </c>
      <c r="N100" s="104">
        <f>SUMPRODUCT($D$17:$D$19,$N$16:$N$18)</f>
        <v>34.799999999999997</v>
      </c>
      <c r="O100" s="104">
        <f>SUMPRODUCT($D$30:$D$32,$M$16:$M$18)</f>
        <v>14</v>
      </c>
      <c r="P100" s="104">
        <v>0</v>
      </c>
      <c r="Q100" s="450">
        <f t="shared" si="32"/>
        <v>33.007503348322103</v>
      </c>
      <c r="R100" s="1310">
        <f>(N$15+1-$J$15)*$O$2+25</f>
        <v>225.81632653061223</v>
      </c>
      <c r="S100" s="1310">
        <f>(N$15+M$15+1-$J$15)*$O$2+$E$17+D100*$O$3</f>
        <v>362.37142857142857</v>
      </c>
      <c r="T100" s="1310">
        <v>0</v>
      </c>
      <c r="U100" s="451">
        <f t="shared" si="29"/>
        <v>1</v>
      </c>
      <c r="V100" s="451">
        <f t="shared" si="22"/>
        <v>0.42414598439211165</v>
      </c>
      <c r="W100" s="451">
        <v>0</v>
      </c>
      <c r="X100" s="452">
        <f t="shared" si="23"/>
        <v>1</v>
      </c>
      <c r="Y100" s="447">
        <f t="shared" si="24"/>
        <v>9752.4414498438418</v>
      </c>
      <c r="Z100" s="447">
        <f t="shared" si="30"/>
        <v>5861.4416006833208</v>
      </c>
      <c r="AA100" s="447">
        <f>SUMPRODUCT($F$30:$F$32,$M$16:$M$18)*MIN(Q100/O100,1)*X100</f>
        <v>1462.7610770499225</v>
      </c>
      <c r="AB100">
        <f t="shared" si="28"/>
        <v>921.65006995070587</v>
      </c>
      <c r="AC100" s="447">
        <v>0</v>
      </c>
      <c r="AD100" s="447">
        <v>0</v>
      </c>
      <c r="AE100" s="447">
        <v>0</v>
      </c>
      <c r="AF100" s="448">
        <f t="shared" si="20"/>
        <v>17998.29419752779</v>
      </c>
      <c r="AG100" s="453">
        <f t="shared" si="25"/>
        <v>545.27887212780399</v>
      </c>
      <c r="AH100" s="454">
        <f t="shared" si="31"/>
        <v>1.7924966516778937</v>
      </c>
      <c r="AI100" s="104">
        <f t="shared" si="26"/>
        <v>-19.007503348322103</v>
      </c>
      <c r="AJ100" s="455">
        <v>0</v>
      </c>
      <c r="AK100" s="456"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8">
        <v>1</v>
      </c>
      <c r="D101" s="28">
        <v>1</v>
      </c>
      <c r="E101" s="28">
        <v>1</v>
      </c>
      <c r="F101" s="197">
        <v>0</v>
      </c>
      <c r="G101" s="197">
        <v>0</v>
      </c>
      <c r="H101" s="414">
        <f t="shared" si="17"/>
        <v>3</v>
      </c>
      <c r="I101" s="106">
        <f>J$15+N$15+L$15</f>
        <v>7.2000000000000011</v>
      </c>
      <c r="J101" s="106">
        <f t="shared" si="21"/>
        <v>289.17551020408166</v>
      </c>
      <c r="K101" s="95">
        <f>SUMPRODUCT($E$13:$E$15,$J$16:$J$18)+SUMPRODUCT($E$31:$E$33,$N$16:$N$18)+SUMPRODUCT($E$22:$E$24,$L$16:$L$18)</f>
        <v>40</v>
      </c>
      <c r="L101" s="459">
        <f t="shared" si="18"/>
        <v>329.17551020408166</v>
      </c>
      <c r="M101" s="460">
        <f>SUMPRODUCT($C$13:$C$15,$J$16:$J$18)+SUMPRODUCT($C$31:$C$33,$N$16:$N$18)+SUMPRODUCT($C$22:$C$24,$L$16:$L$18)</f>
        <v>9</v>
      </c>
      <c r="N101" s="105">
        <f>SUMPRODUCT($D$13:$D$15,$J$16:$J$18)</f>
        <v>17.399999999999999</v>
      </c>
      <c r="O101" s="105">
        <f>SUMPRODUCT($D$31:$D$33,$N$16:$N$18)</f>
        <v>16</v>
      </c>
      <c r="P101" s="104">
        <v>0</v>
      </c>
      <c r="Q101" s="461">
        <f t="shared" ref="Q101:Q115" si="33">IF(N101&gt;L101/sndeps,L101/sndeps,N101+(L101/sndeps-N101)*sndeps/eps)</f>
        <v>25.470941506304811</v>
      </c>
      <c r="R101" s="1310">
        <f>(J$15+1-$J$15)*$O$2+25</f>
        <v>65.16326530612244</v>
      </c>
      <c r="S101" s="1310">
        <f>(J$15+N$15+1-$J$15)*$O$2+$E$13+D101*$O$3</f>
        <v>261.88163265306122</v>
      </c>
      <c r="T101" s="1310">
        <v>0</v>
      </c>
      <c r="U101" s="159">
        <f t="shared" si="29"/>
        <v>0.68313140272780981</v>
      </c>
      <c r="V101" s="159">
        <f t="shared" si="22"/>
        <v>0.62816680710603201</v>
      </c>
      <c r="W101" s="451">
        <v>0</v>
      </c>
      <c r="X101" s="462">
        <f t="shared" si="23"/>
        <v>1</v>
      </c>
      <c r="Y101" s="106">
        <f t="shared" si="24"/>
        <v>6884.0763175368302</v>
      </c>
      <c r="Z101" s="106">
        <f t="shared" si="30"/>
        <v>3089.8757405435285</v>
      </c>
      <c r="AA101" s="106">
        <f>SUMPRODUCT($F$31:$F$33,$N$16:$N$18)*MIN(Q101/O101,1)*X101</f>
        <v>1759.7269451999114</v>
      </c>
      <c r="AB101" s="28">
        <f t="shared" si="28"/>
        <v>921.65006995070587</v>
      </c>
      <c r="AC101" s="447">
        <v>0</v>
      </c>
      <c r="AD101" s="447">
        <v>0</v>
      </c>
      <c r="AE101" s="447">
        <v>0</v>
      </c>
      <c r="AF101" s="459">
        <f t="shared" si="20"/>
        <v>12655.329073230974</v>
      </c>
      <c r="AG101" s="453">
        <f t="shared" si="25"/>
        <v>496.85360355047754</v>
      </c>
      <c r="AH101" s="463">
        <f t="shared" si="31"/>
        <v>-8.0709415063048127</v>
      </c>
      <c r="AI101" s="105">
        <f t="shared" si="26"/>
        <v>-9.4709415063048112</v>
      </c>
      <c r="AJ101" s="455">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8">
        <v>1</v>
      </c>
      <c r="D102" s="28">
        <v>1</v>
      </c>
      <c r="E102" s="28">
        <v>1</v>
      </c>
      <c r="F102" s="197">
        <v>0</v>
      </c>
      <c r="G102" s="197">
        <v>0</v>
      </c>
      <c r="H102" s="414">
        <f t="shared" si="17"/>
        <v>3</v>
      </c>
      <c r="I102" s="106">
        <f>K$15+N$15+L$15</f>
        <v>8.2000000000000011</v>
      </c>
      <c r="J102" s="106">
        <f t="shared" si="21"/>
        <v>329.33877551020413</v>
      </c>
      <c r="K102" s="95">
        <f>SUMPRODUCT($E$14:$E$16,$K$16:$K$18)+SUMPRODUCT($E$31:$E$33,$N$16:$N$18)+SUMPRODUCT($E$22:$E$24,$L$16:$L$18)</f>
        <v>35</v>
      </c>
      <c r="L102" s="459">
        <f t="shared" si="18"/>
        <v>364.33877551020413</v>
      </c>
      <c r="M102" s="460">
        <f>SUMPRODUCT($C$14:$C$16,$K$16:$K$18)+SUMPRODUCT($C$31:$C$33,$N$16:$N$18)+SUMPRODUCT($C$22:$C$24,$L$16:$L$18)</f>
        <v>10</v>
      </c>
      <c r="N102" s="105">
        <f>SUMPRODUCT($D$14:$D$16,$K$16:$K$18)</f>
        <v>21.75</v>
      </c>
      <c r="O102" s="105">
        <f>SUMPRODUCT($D$31:$D$33,$N$16:$N$18)</f>
        <v>16</v>
      </c>
      <c r="P102" s="104">
        <v>0</v>
      </c>
      <c r="Q102" s="461">
        <f t="shared" si="33"/>
        <v>28.03633071736844</v>
      </c>
      <c r="R102" s="1310">
        <f>(K$15+1-$J$15)*$O$2+25</f>
        <v>105.32653061224489</v>
      </c>
      <c r="S102" s="1310">
        <f>(K$15+N$15+1-$J$15)*$O$2+$E$14+D102*$O$3</f>
        <v>297.04489795918369</v>
      </c>
      <c r="T102" s="1310">
        <v>0</v>
      </c>
      <c r="U102" s="159">
        <f t="shared" si="29"/>
        <v>0.77577912100052115</v>
      </c>
      <c r="V102" s="159">
        <f t="shared" si="22"/>
        <v>0.57068808901187762</v>
      </c>
      <c r="W102" s="451">
        <v>0</v>
      </c>
      <c r="X102" s="462">
        <f t="shared" si="23"/>
        <v>1</v>
      </c>
      <c r="Y102" s="106">
        <f t="shared" si="24"/>
        <v>7840.1980283058338</v>
      </c>
      <c r="Z102" s="106">
        <f t="shared" si="30"/>
        <v>3862.3446756794115</v>
      </c>
      <c r="AA102" s="106">
        <f>SUMPRODUCT($F$31:$F$33,$N$16:$N$18)*MIN(Q102/O102,1)*X102</f>
        <v>1759.7269451999114</v>
      </c>
      <c r="AB102" s="28">
        <f t="shared" si="28"/>
        <v>921.65006995070587</v>
      </c>
      <c r="AC102" s="447">
        <v>0</v>
      </c>
      <c r="AD102" s="447">
        <v>0</v>
      </c>
      <c r="AE102" s="447">
        <v>0</v>
      </c>
      <c r="AF102" s="459">
        <f t="shared" si="20"/>
        <v>14383.919719135862</v>
      </c>
      <c r="AG102" s="453">
        <f t="shared" si="25"/>
        <v>513.04572856336927</v>
      </c>
      <c r="AH102" s="463">
        <f t="shared" si="31"/>
        <v>-6.2863307173684397</v>
      </c>
      <c r="AI102" s="105">
        <f t="shared" si="26"/>
        <v>-12.03633071736844</v>
      </c>
      <c r="AJ102" s="455">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8">
        <v>1</v>
      </c>
      <c r="D103" s="28">
        <v>1</v>
      </c>
      <c r="E103" s="28">
        <v>1</v>
      </c>
      <c r="F103" s="197">
        <v>0</v>
      </c>
      <c r="G103" s="197">
        <v>0</v>
      </c>
      <c r="H103" s="414">
        <f t="shared" si="17"/>
        <v>3</v>
      </c>
      <c r="I103" s="106">
        <f>L$15+N$15+L$15</f>
        <v>9.2000000000000011</v>
      </c>
      <c r="J103" s="106">
        <f t="shared" si="21"/>
        <v>369.50204081632654</v>
      </c>
      <c r="K103" s="95">
        <f>SUMPRODUCT($E$15:$E$17,$L$16:$L$18)+SUMPRODUCT($E$31:$E$33,$N$16:$N$18)+SUMPRODUCT($E$22:$E$24,$L$16:$L$18)</f>
        <v>30</v>
      </c>
      <c r="L103" s="459">
        <f t="shared" si="18"/>
        <v>399.50204081632654</v>
      </c>
      <c r="M103" s="460">
        <f>SUMPRODUCT($C$15:$C$17,$L$16:$L$18)+SUMPRODUCT($C$31:$C$33,$N$16:$N$18)+SUMPRODUCT($C$22:$C$24,$L$16:$L$18)</f>
        <v>11</v>
      </c>
      <c r="N103" s="105">
        <f>SUMPRODUCT($D$15:$D$17,$L$16:$L$18)</f>
        <v>26.099999999999998</v>
      </c>
      <c r="O103" s="105">
        <f>SUMPRODUCT($D$31:$D$33,$N$16:$N$18)</f>
        <v>16</v>
      </c>
      <c r="P103" s="104">
        <v>0</v>
      </c>
      <c r="Q103" s="461">
        <f t="shared" si="33"/>
        <v>30.601719928432061</v>
      </c>
      <c r="R103" s="1310">
        <f>(L$15+1-$J$15)*$O$2+25</f>
        <v>145.48979591836735</v>
      </c>
      <c r="S103" s="1310">
        <f>(L$15+N$15+1-$J$15)*$O$2+$E$15+D103*$O$3</f>
        <v>332.2081632653061</v>
      </c>
      <c r="T103" s="1310">
        <v>0</v>
      </c>
      <c r="U103" s="159">
        <f t="shared" si="29"/>
        <v>0.85289323806112238</v>
      </c>
      <c r="V103" s="159">
        <f t="shared" si="22"/>
        <v>0.52284642946275706</v>
      </c>
      <c r="W103" s="451">
        <v>0</v>
      </c>
      <c r="X103" s="462">
        <f t="shared" si="23"/>
        <v>1</v>
      </c>
      <c r="Y103" s="106">
        <f t="shared" si="24"/>
        <v>8796.3197390748373</v>
      </c>
      <c r="Z103" s="106">
        <f t="shared" si="30"/>
        <v>4634.813610815293</v>
      </c>
      <c r="AA103" s="106">
        <f>SUMPRODUCT($F$31:$F$33,$N$16:$N$18)*MIN(Q103/O103,1)*X103</f>
        <v>1759.7269451999114</v>
      </c>
      <c r="AB103" s="28">
        <f t="shared" si="28"/>
        <v>921.65006995070587</v>
      </c>
      <c r="AC103" s="447">
        <v>0</v>
      </c>
      <c r="AD103" s="447">
        <v>0</v>
      </c>
      <c r="AE103" s="447">
        <v>0</v>
      </c>
      <c r="AF103" s="459">
        <f t="shared" si="20"/>
        <v>16112.510365040745</v>
      </c>
      <c r="AG103" s="453">
        <f t="shared" si="25"/>
        <v>526.52303212770107</v>
      </c>
      <c r="AH103" s="463">
        <f t="shared" si="31"/>
        <v>-4.5017199284320633</v>
      </c>
      <c r="AI103" s="105">
        <f t="shared" si="26"/>
        <v>-14.601719928432061</v>
      </c>
      <c r="AJ103" s="455">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8">
        <v>1</v>
      </c>
      <c r="D104" s="28">
        <v>1</v>
      </c>
      <c r="E104" s="28">
        <v>1</v>
      </c>
      <c r="F104" s="197">
        <v>0</v>
      </c>
      <c r="G104" s="197">
        <v>0</v>
      </c>
      <c r="H104" s="414">
        <f t="shared" si="17"/>
        <v>3</v>
      </c>
      <c r="I104" s="106">
        <f>M$15+N$15+L$15</f>
        <v>10.200000000000001</v>
      </c>
      <c r="J104" s="106">
        <f t="shared" si="21"/>
        <v>409.66530612244901</v>
      </c>
      <c r="K104" s="95">
        <f>SUMPRODUCT($E$16:$E$18,$M$16:$M$18)+SUMPRODUCT($E$31:$E$33,$N$16:$N$18)+SUMPRODUCT($E$22:$E$24,$L$16:$L$18)</f>
        <v>25</v>
      </c>
      <c r="L104" s="459">
        <f t="shared" si="18"/>
        <v>434.66530612244901</v>
      </c>
      <c r="M104" s="460">
        <f>SUMPRODUCT($C$16:$C$18,$M$16:$M$18)+SUMPRODUCT($C$31:$C$33,$N$16:$N$18)+SUMPRODUCT($C$22:$C$24,$L$16:$L$18)</f>
        <v>12</v>
      </c>
      <c r="N104" s="105">
        <f>SUMPRODUCT($D$16:$D$18,$M$16:$M$18)</f>
        <v>30.45</v>
      </c>
      <c r="O104" s="105">
        <f>SUMPRODUCT($D$31:$D$33,$N$16:$N$18)</f>
        <v>16</v>
      </c>
      <c r="P104" s="104">
        <v>0</v>
      </c>
      <c r="Q104" s="461">
        <f t="shared" si="33"/>
        <v>33.167109139495693</v>
      </c>
      <c r="R104" s="1310">
        <f>(M$15+1-$J$15)*$O$2+25</f>
        <v>185.65306122448979</v>
      </c>
      <c r="S104" s="1310">
        <f>(M$15+N$15+1-$J$15)*$O$2+$E$16+D104*$O$3</f>
        <v>367.37142857142857</v>
      </c>
      <c r="T104" s="1310">
        <v>0</v>
      </c>
      <c r="U104" s="159">
        <f t="shared" si="29"/>
        <v>0.91807820428159848</v>
      </c>
      <c r="V104" s="159">
        <f t="shared" si="22"/>
        <v>0.48240562458146391</v>
      </c>
      <c r="W104" s="451">
        <v>0</v>
      </c>
      <c r="X104" s="462">
        <f t="shared" si="23"/>
        <v>1</v>
      </c>
      <c r="Y104" s="106">
        <f t="shared" si="24"/>
        <v>9752.4414498438418</v>
      </c>
      <c r="Z104" s="106">
        <f t="shared" si="30"/>
        <v>5407.2825459511769</v>
      </c>
      <c r="AA104" s="106">
        <f>SUMPRODUCT($F$31:$F$33,$N$16:$N$18)*MIN(Q104/O104,1)*X104</f>
        <v>1759.7269451999114</v>
      </c>
      <c r="AB104" s="28">
        <f t="shared" si="28"/>
        <v>921.65006995070587</v>
      </c>
      <c r="AC104" s="447">
        <v>0</v>
      </c>
      <c r="AD104" s="447">
        <v>0</v>
      </c>
      <c r="AE104" s="447">
        <v>0</v>
      </c>
      <c r="AF104" s="459">
        <f t="shared" si="20"/>
        <v>17841.101010945637</v>
      </c>
      <c r="AG104" s="453">
        <f t="shared" si="25"/>
        <v>537.91546727538855</v>
      </c>
      <c r="AH104" s="463">
        <f t="shared" si="31"/>
        <v>-2.7171091394956939</v>
      </c>
      <c r="AI104" s="105">
        <f t="shared" si="26"/>
        <v>-17.167109139495693</v>
      </c>
      <c r="AJ104" s="455">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8">
        <v>1</v>
      </c>
      <c r="D105" s="28">
        <v>1</v>
      </c>
      <c r="E105" s="28">
        <v>1</v>
      </c>
      <c r="F105" s="197">
        <v>0</v>
      </c>
      <c r="G105" s="197">
        <v>0</v>
      </c>
      <c r="H105" s="414">
        <f t="shared" si="17"/>
        <v>3</v>
      </c>
      <c r="I105" s="106">
        <f>N$15+N$15+L$15</f>
        <v>11.200000000000001</v>
      </c>
      <c r="J105" s="106">
        <f t="shared" si="21"/>
        <v>449.82857142857148</v>
      </c>
      <c r="K105" s="95">
        <f>SUMPRODUCT($E$17:$E$19,$N$16:$N$18)+SUMPRODUCT($E$31:$E$33,$N$16:$N$18)+SUMPRODUCT($E$22:$E$24,$L$16:$L$18)</f>
        <v>20</v>
      </c>
      <c r="L105" s="459">
        <f t="shared" si="18"/>
        <v>469.82857142857148</v>
      </c>
      <c r="M105" s="460">
        <f>SUMPRODUCT($C$17:$C$19,$N$16:$N$18)+SUMPRODUCT($C$31:$C$33,$N$16:$N$18)+SUMPRODUCT($C$22:$C$24,$L$16:$L$18)</f>
        <v>13</v>
      </c>
      <c r="N105" s="105">
        <f>SUMPRODUCT($D$17:$D$19,$N$16:$N$18)</f>
        <v>34.799999999999997</v>
      </c>
      <c r="O105" s="105">
        <f>SUMPRODUCT($D$31:$D$33,$N$16:$N$18)</f>
        <v>16</v>
      </c>
      <c r="P105" s="104">
        <v>0</v>
      </c>
      <c r="Q105" s="461">
        <f t="shared" si="33"/>
        <v>35.732498350559325</v>
      </c>
      <c r="R105" s="1310">
        <f>(N$15+1-$J$15)*$O$2+25</f>
        <v>225.81632653061223</v>
      </c>
      <c r="S105" s="1310">
        <f>(N$15+N$15+1-$J$15)*$O$2+$E$17+D105*$O$3</f>
        <v>402.53469387755104</v>
      </c>
      <c r="T105" s="1310">
        <v>0</v>
      </c>
      <c r="U105" s="159">
        <f t="shared" si="29"/>
        <v>0.97390335426840557</v>
      </c>
      <c r="V105" s="159">
        <f t="shared" si="22"/>
        <v>0.44777165713489914</v>
      </c>
      <c r="W105" s="451">
        <v>0</v>
      </c>
      <c r="X105" s="462">
        <f t="shared" si="23"/>
        <v>1</v>
      </c>
      <c r="Y105" s="106">
        <f t="shared" si="24"/>
        <v>10708.563160612846</v>
      </c>
      <c r="Z105" s="106">
        <f t="shared" si="30"/>
        <v>6179.7514810870571</v>
      </c>
      <c r="AA105" s="106">
        <f>SUMPRODUCT($F$31:$F$33,$N$16:$N$18)*MIN(Q105/O105,1)*X105</f>
        <v>1759.7269451999114</v>
      </c>
      <c r="AB105" s="28">
        <f t="shared" si="28"/>
        <v>921.65006995070587</v>
      </c>
      <c r="AC105" s="447">
        <v>0</v>
      </c>
      <c r="AD105" s="447">
        <v>0</v>
      </c>
      <c r="AE105" s="447">
        <v>0</v>
      </c>
      <c r="AF105" s="459">
        <f t="shared" si="20"/>
        <v>19569.691656850522</v>
      </c>
      <c r="AG105" s="453">
        <f t="shared" si="25"/>
        <v>547.67207892543559</v>
      </c>
      <c r="AH105" s="463">
        <f t="shared" si="31"/>
        <v>-0.93249835055932806</v>
      </c>
      <c r="AI105" s="105">
        <f t="shared" si="26"/>
        <v>-19.732498350559325</v>
      </c>
      <c r="AJ105" s="455">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5">
        <v>1</v>
      </c>
      <c r="D106">
        <v>1</v>
      </c>
      <c r="E106">
        <v>1</v>
      </c>
      <c r="F106" s="197">
        <v>0</v>
      </c>
      <c r="G106" s="197">
        <v>0</v>
      </c>
      <c r="H106" s="446">
        <f t="shared" si="17"/>
        <v>3</v>
      </c>
      <c r="I106" s="106">
        <f>J$15+L$15+M$15</f>
        <v>6.1999999999999993</v>
      </c>
      <c r="J106" s="447">
        <f t="shared" si="21"/>
        <v>249.01224489795914</v>
      </c>
      <c r="K106" s="95">
        <f>SUMPRODUCT($E$13:$E$15,$J$16:$J$18)+SUMPRODUCT($E$29:$E$31,$L$16:$L$18)+SUMPRODUCT($E$23:$E$25,$M$16:$M$18)</f>
        <v>45</v>
      </c>
      <c r="L106" s="448">
        <f t="shared" si="18"/>
        <v>294.01224489795914</v>
      </c>
      <c r="M106" s="460">
        <f>SUMPRODUCT($C$13:$C$15,$J$16:$J$18)+SUMPRODUCT($C$29:$C$31,$L$16:$L$18)+SUMPRODUCT($C$23:$C$25,$M$16:$M$18)</f>
        <v>8</v>
      </c>
      <c r="N106" s="104">
        <f>SUMPRODUCT($D$13:$D$15,$J$16:$J$18)</f>
        <v>17.399999999999999</v>
      </c>
      <c r="O106" s="104">
        <f>SUMPRODUCT($D$29:$D$31,$L$16:$L$18)</f>
        <v>12</v>
      </c>
      <c r="P106" s="104">
        <v>0</v>
      </c>
      <c r="Q106" s="450">
        <f t="shared" si="33"/>
        <v>22.634082390006995</v>
      </c>
      <c r="R106" s="1310">
        <f>(J$15+1-$J$15)*$O$2+25</f>
        <v>65.16326530612244</v>
      </c>
      <c r="S106" s="1310">
        <f>(J$15+L$15+1-$J$15)*$O$2+$E$13+D106*$O$3</f>
        <v>181.55510204081631</v>
      </c>
      <c r="T106" s="1310">
        <v>0</v>
      </c>
      <c r="U106" s="451">
        <f t="shared" si="29"/>
        <v>0.76875217206429114</v>
      </c>
      <c r="V106" s="451">
        <f t="shared" si="22"/>
        <v>0.53017391176847661</v>
      </c>
      <c r="W106" s="451">
        <v>0</v>
      </c>
      <c r="X106" s="452">
        <f t="shared" si="23"/>
        <v>1</v>
      </c>
      <c r="Y106" s="447">
        <f t="shared" si="24"/>
        <v>5927.9546067678239</v>
      </c>
      <c r="Z106" s="447">
        <f t="shared" si="30"/>
        <v>3089.8757405435285</v>
      </c>
      <c r="AA106" s="447">
        <f>SUMPRODUCT($F$29:$F$31,$L$16:$L$18)*MIN(Q106/O106,1)*X106</f>
        <v>1187.7952088999336</v>
      </c>
      <c r="AB106" s="28">
        <f t="shared" ref="AB106:AB120" si="34">SUMPRODUCT($F$23:$F$25,$M$16:$M$18)*X106</f>
        <v>1190.4605772048644</v>
      </c>
      <c r="AC106" s="447">
        <v>0</v>
      </c>
      <c r="AD106" s="447">
        <v>0</v>
      </c>
      <c r="AE106" s="447">
        <v>0</v>
      </c>
      <c r="AF106" s="448">
        <f t="shared" si="20"/>
        <v>11396.086133416149</v>
      </c>
      <c r="AG106" s="453">
        <f t="shared" si="25"/>
        <v>503.49229701697783</v>
      </c>
      <c r="AH106" s="454">
        <f t="shared" si="31"/>
        <v>-5.2340823900069964</v>
      </c>
      <c r="AI106" s="104">
        <f t="shared" si="26"/>
        <v>-10.634082390006995</v>
      </c>
      <c r="AJ106" s="455">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5">
        <v>1</v>
      </c>
      <c r="D107">
        <v>1</v>
      </c>
      <c r="E107">
        <v>1</v>
      </c>
      <c r="F107" s="197">
        <v>0</v>
      </c>
      <c r="G107" s="197">
        <v>0</v>
      </c>
      <c r="H107" s="446">
        <f t="shared" si="17"/>
        <v>3</v>
      </c>
      <c r="I107" s="106">
        <f>K$15+L$15+M$15</f>
        <v>7.1999999999999993</v>
      </c>
      <c r="J107" s="447">
        <f t="shared" si="21"/>
        <v>289.1755102040816</v>
      </c>
      <c r="K107" s="95">
        <f>SUMPRODUCT($E$14:$E$16,$K$16:$K$18)+SUMPRODUCT($E$29:$E$31,$L$16:$L$18)+SUMPRODUCT($E$23:$E$25,$M$16:$M$18)</f>
        <v>40</v>
      </c>
      <c r="L107" s="448">
        <f t="shared" si="18"/>
        <v>329.1755102040816</v>
      </c>
      <c r="M107" s="460">
        <f>SUMPRODUCT($C$14:$C$16,$K$16:$K$18)+SUMPRODUCT($C$29:$C$31,$L$16:$L$18)+SUMPRODUCT($C$23:$C$25,$M$16:$M$18)</f>
        <v>9</v>
      </c>
      <c r="N107" s="104">
        <f>SUMPRODUCT($D$14:$D$16,$K$16:$K$18)</f>
        <v>21.75</v>
      </c>
      <c r="O107" s="104">
        <f>SUMPRODUCT($D$29:$D$31,$L$16:$L$18)</f>
        <v>12</v>
      </c>
      <c r="P107" s="104">
        <v>0</v>
      </c>
      <c r="Q107" s="450">
        <f t="shared" si="33"/>
        <v>25.19947160107062</v>
      </c>
      <c r="R107" s="1310">
        <f>(K$15+1-$J$15)*$O$2+25</f>
        <v>105.32653061224489</v>
      </c>
      <c r="S107" s="1310">
        <f>(K$15+L$15+1-$J$15)*$O$2+$E$14+D107*$O$3</f>
        <v>216.71836734693878</v>
      </c>
      <c r="T107" s="1310">
        <v>0</v>
      </c>
      <c r="U107" s="451">
        <f t="shared" si="29"/>
        <v>0.86311333603820228</v>
      </c>
      <c r="V107" s="451">
        <f t="shared" si="22"/>
        <v>0.47620046126245641</v>
      </c>
      <c r="W107" s="451">
        <v>0</v>
      </c>
      <c r="X107" s="452">
        <f t="shared" si="23"/>
        <v>1</v>
      </c>
      <c r="Y107" s="447">
        <f t="shared" si="24"/>
        <v>6884.0763175368284</v>
      </c>
      <c r="Z107" s="447">
        <f t="shared" si="30"/>
        <v>3862.3446756794115</v>
      </c>
      <c r="AA107" s="447">
        <f>SUMPRODUCT($F$29:$F$31,$L$16:$L$18)*MIN(Q107/O107,1)*X107</f>
        <v>1187.7952088999336</v>
      </c>
      <c r="AB107" s="28">
        <f t="shared" si="34"/>
        <v>1190.4605772048644</v>
      </c>
      <c r="AC107" s="447">
        <v>0</v>
      </c>
      <c r="AD107" s="447">
        <v>0</v>
      </c>
      <c r="AE107" s="447">
        <v>0</v>
      </c>
      <c r="AF107" s="448">
        <f t="shared" si="20"/>
        <v>13124.676779321038</v>
      </c>
      <c r="AG107" s="453">
        <f t="shared" si="25"/>
        <v>520.83142801944405</v>
      </c>
      <c r="AH107" s="454">
        <f t="shared" si="31"/>
        <v>-3.4494716010706199</v>
      </c>
      <c r="AI107" s="104">
        <f t="shared" si="26"/>
        <v>-13.19947160107062</v>
      </c>
      <c r="AJ107" s="455">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5">
        <v>1</v>
      </c>
      <c r="D108">
        <v>1</v>
      </c>
      <c r="E108">
        <v>1</v>
      </c>
      <c r="F108" s="197">
        <v>0</v>
      </c>
      <c r="G108" s="197">
        <v>0</v>
      </c>
      <c r="H108" s="446">
        <f t="shared" si="17"/>
        <v>3</v>
      </c>
      <c r="I108" s="106">
        <f>L$15+L$15+M$15</f>
        <v>8.1999999999999993</v>
      </c>
      <c r="J108" s="447">
        <f t="shared" si="21"/>
        <v>329.33877551020402</v>
      </c>
      <c r="K108" s="95">
        <f>SUMPRODUCT($E$15:$E$17,$L$16:$L$18)+SUMPRODUCT($E$29:$E$31,$L$16:$L$18)+SUMPRODUCT($E$23:$E$25,$M$16:$M$18)</f>
        <v>35</v>
      </c>
      <c r="L108" s="448">
        <f t="shared" si="18"/>
        <v>364.33877551020402</v>
      </c>
      <c r="M108" s="460">
        <f>SUMPRODUCT($C$15:$C$17,$L$16:$L$18)+SUMPRODUCT($C$29:$C$31,$L$16:$L$18)+SUMPRODUCT($C$23:$C$25,$M$16:$M$18)</f>
        <v>10</v>
      </c>
      <c r="N108" s="104">
        <f>SUMPRODUCT($D$15:$D$17,$L$16:$L$18)</f>
        <v>26.099999999999998</v>
      </c>
      <c r="O108" s="104">
        <f>SUMPRODUCT($D$29:$D$31,$L$16:$L$18)</f>
        <v>12</v>
      </c>
      <c r="P108" s="104">
        <v>0</v>
      </c>
      <c r="Q108" s="450">
        <f t="shared" si="33"/>
        <v>27.764860812134245</v>
      </c>
      <c r="R108" s="1310">
        <f>(L$15+1-$J$15)*$O$2+25</f>
        <v>145.48979591836735</v>
      </c>
      <c r="S108" s="1310">
        <f>(L$15+L$15+1-$J$15)*$O$2+$E$15+D108*$O$3</f>
        <v>251.88163265306122</v>
      </c>
      <c r="T108" s="1310">
        <v>0</v>
      </c>
      <c r="U108" s="451">
        <f t="shared" si="29"/>
        <v>0.94003712738200929</v>
      </c>
      <c r="V108" s="451">
        <f t="shared" si="22"/>
        <v>0.43220097810667096</v>
      </c>
      <c r="W108" s="451">
        <v>0</v>
      </c>
      <c r="X108" s="452">
        <f t="shared" si="23"/>
        <v>1</v>
      </c>
      <c r="Y108" s="447">
        <f t="shared" si="24"/>
        <v>7840.1980283058319</v>
      </c>
      <c r="Z108" s="447">
        <f t="shared" si="30"/>
        <v>4634.813610815293</v>
      </c>
      <c r="AA108" s="447">
        <f>SUMPRODUCT($F$29:$F$31,$L$16:$L$18)*MIN(Q108/O108,1)*X108</f>
        <v>1187.7952088999336</v>
      </c>
      <c r="AB108" s="28">
        <f t="shared" si="34"/>
        <v>1190.4605772048644</v>
      </c>
      <c r="AC108" s="447">
        <v>0</v>
      </c>
      <c r="AD108" s="447">
        <v>0</v>
      </c>
      <c r="AE108" s="447">
        <v>0</v>
      </c>
      <c r="AF108" s="448">
        <f t="shared" si="20"/>
        <v>14853.267425225924</v>
      </c>
      <c r="AG108" s="453">
        <f t="shared" si="25"/>
        <v>534.96639243854986</v>
      </c>
      <c r="AH108" s="454">
        <f t="shared" si="31"/>
        <v>-1.664860812134247</v>
      </c>
      <c r="AI108" s="104">
        <f t="shared" si="26"/>
        <v>-15.764860812134245</v>
      </c>
      <c r="AJ108" s="455">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5">
        <v>1</v>
      </c>
      <c r="D109">
        <v>1</v>
      </c>
      <c r="E109">
        <v>1</v>
      </c>
      <c r="F109" s="197">
        <v>0</v>
      </c>
      <c r="G109" s="197">
        <v>0</v>
      </c>
      <c r="H109" s="446">
        <f t="shared" si="17"/>
        <v>3</v>
      </c>
      <c r="I109" s="106">
        <f>M$15+L$15+M$15</f>
        <v>9.1999999999999993</v>
      </c>
      <c r="J109" s="447">
        <f t="shared" si="21"/>
        <v>369.50204081632648</v>
      </c>
      <c r="K109" s="95">
        <f>SUMPRODUCT($E$16:$E$18,$M$16:$M$18)+SUMPRODUCT($E$29:$E$31,$L$16:$L$18)+SUMPRODUCT($E$23:$E$25,$M$16:$M$18)</f>
        <v>30</v>
      </c>
      <c r="L109" s="448">
        <f t="shared" si="18"/>
        <v>399.50204081632648</v>
      </c>
      <c r="M109" s="460">
        <f>SUMPRODUCT($C$16:$C$18,$M$16:$M$18)+SUMPRODUCT($C$29:$C$31,$L$16:$L$18)+SUMPRODUCT($C$23:$C$25,$M$16:$M$18)</f>
        <v>11</v>
      </c>
      <c r="N109" s="104">
        <f>SUMPRODUCT($D$16:$D$18,$M$16:$M$18)</f>
        <v>30.45</v>
      </c>
      <c r="O109" s="104">
        <f>SUMPRODUCT($D$29:$D$31,$L$16:$L$18)</f>
        <v>12</v>
      </c>
      <c r="P109" s="104">
        <v>0</v>
      </c>
      <c r="Q109" s="450">
        <f t="shared" si="33"/>
        <v>30.337284260252506</v>
      </c>
      <c r="R109" s="1310">
        <f>(M$15+1-$J$15)*$O$2+25</f>
        <v>185.65306122448979</v>
      </c>
      <c r="S109" s="1310">
        <f>(M$15+L$15+1-$J$15)*$O$2+$E$16+D109*$O$3</f>
        <v>287.04489795918369</v>
      </c>
      <c r="T109" s="1310">
        <v>0</v>
      </c>
      <c r="U109" s="451">
        <f t="shared" si="29"/>
        <v>1</v>
      </c>
      <c r="V109" s="451">
        <f t="shared" si="22"/>
        <v>0.39555287470876999</v>
      </c>
      <c r="W109" s="451">
        <v>0</v>
      </c>
      <c r="X109" s="452">
        <f t="shared" si="23"/>
        <v>1</v>
      </c>
      <c r="Y109" s="447">
        <f t="shared" si="24"/>
        <v>8796.3197390748355</v>
      </c>
      <c r="Z109" s="447">
        <f t="shared" si="30"/>
        <v>5387.2665902142107</v>
      </c>
      <c r="AA109" s="447">
        <f>SUMPRODUCT($F$29:$F$31,$L$16:$L$18)*MIN(Q109/O109,1)*X109</f>
        <v>1187.7952088999336</v>
      </c>
      <c r="AB109" s="28">
        <f t="shared" si="34"/>
        <v>1190.4605772048644</v>
      </c>
      <c r="AC109" s="447">
        <v>0</v>
      </c>
      <c r="AD109" s="447">
        <v>0</v>
      </c>
      <c r="AE109" s="447">
        <v>0</v>
      </c>
      <c r="AF109" s="448">
        <f t="shared" si="20"/>
        <v>16561.842115393843</v>
      </c>
      <c r="AG109" s="453">
        <f t="shared" si="25"/>
        <v>545.92368826806762</v>
      </c>
      <c r="AH109" s="454">
        <f t="shared" si="31"/>
        <v>0.11271573974749316</v>
      </c>
      <c r="AI109" s="104">
        <f t="shared" si="26"/>
        <v>-18.337284260252506</v>
      </c>
      <c r="AJ109" s="455">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5">
        <v>1</v>
      </c>
      <c r="D110">
        <v>1</v>
      </c>
      <c r="E110">
        <v>1</v>
      </c>
      <c r="F110" s="197">
        <v>0</v>
      </c>
      <c r="G110" s="197">
        <v>0</v>
      </c>
      <c r="H110" s="446">
        <f t="shared" si="17"/>
        <v>3</v>
      </c>
      <c r="I110" s="106">
        <f>N$15+L$15+M$15</f>
        <v>10.200000000000001</v>
      </c>
      <c r="J110" s="447">
        <f t="shared" si="21"/>
        <v>409.66530612244901</v>
      </c>
      <c r="K110" s="95">
        <f>SUMPRODUCT($E$17:$E$19,$N$16:$N$18)+SUMPRODUCT($E$29:$E$31,$L$16:$L$18)+SUMPRODUCT($E$23:$E$25,$M$16:$M$18)</f>
        <v>25</v>
      </c>
      <c r="L110" s="448">
        <f t="shared" si="18"/>
        <v>434.66530612244901</v>
      </c>
      <c r="M110" s="460">
        <f>SUMPRODUCT($C$17:$C$19,$N$16:$N$18)+SUMPRODUCT($C$29:$C$31,$L$16:$L$18)+SUMPRODUCT($C$23:$C$25,$M$16:$M$18)</f>
        <v>12</v>
      </c>
      <c r="N110" s="104">
        <f>SUMPRODUCT($D$17:$D$19,$N$16:$N$18)</f>
        <v>34.799999999999997</v>
      </c>
      <c r="O110" s="104">
        <f>SUMPRODUCT($D$29:$D$31,$L$16:$L$18)</f>
        <v>12</v>
      </c>
      <c r="P110" s="104">
        <v>0</v>
      </c>
      <c r="Q110" s="450">
        <f t="shared" si="33"/>
        <v>33.007503348322103</v>
      </c>
      <c r="R110" s="1310">
        <f>(N$15+1-$J$15)*$O$2+25</f>
        <v>225.81632653061223</v>
      </c>
      <c r="S110" s="1310">
        <f>(N$15+L$15+1-$J$15)*$O$2+$E$17+D110*$O$3</f>
        <v>322.2081632653061</v>
      </c>
      <c r="T110" s="1310">
        <v>0</v>
      </c>
      <c r="U110" s="451">
        <f t="shared" si="29"/>
        <v>1</v>
      </c>
      <c r="V110" s="451">
        <f t="shared" si="22"/>
        <v>0.36355370090752426</v>
      </c>
      <c r="W110" s="451">
        <v>0</v>
      </c>
      <c r="X110" s="452">
        <f t="shared" si="23"/>
        <v>1</v>
      </c>
      <c r="Y110" s="447">
        <f t="shared" si="24"/>
        <v>9752.4414498438418</v>
      </c>
      <c r="Z110" s="447">
        <f t="shared" si="30"/>
        <v>5861.4416006833208</v>
      </c>
      <c r="AA110" s="447">
        <f>SUMPRODUCT($F$29:$F$31,$L$16:$L$18)*MIN(Q110/O110,1)*X110</f>
        <v>1187.7952088999336</v>
      </c>
      <c r="AB110" s="28">
        <f t="shared" si="34"/>
        <v>1190.4605772048644</v>
      </c>
      <c r="AC110" s="447">
        <v>0</v>
      </c>
      <c r="AD110" s="447">
        <v>0</v>
      </c>
      <c r="AE110" s="447">
        <v>0</v>
      </c>
      <c r="AF110" s="448">
        <f t="shared" si="20"/>
        <v>17992.138836631959</v>
      </c>
      <c r="AG110" s="453">
        <f t="shared" si="25"/>
        <v>545.09238844162894</v>
      </c>
      <c r="AH110" s="454">
        <f t="shared" si="31"/>
        <v>1.7924966516778937</v>
      </c>
      <c r="AI110" s="104">
        <f t="shared" si="26"/>
        <v>-21.007503348322103</v>
      </c>
      <c r="AJ110" s="455">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5">
        <v>1</v>
      </c>
      <c r="D111">
        <v>1</v>
      </c>
      <c r="E111">
        <v>1</v>
      </c>
      <c r="F111" s="197">
        <v>0</v>
      </c>
      <c r="G111" s="197">
        <v>0</v>
      </c>
      <c r="H111" s="446">
        <f t="shared" si="17"/>
        <v>3</v>
      </c>
      <c r="I111" s="106">
        <f>J$15+M$15+M$15</f>
        <v>7.1999999999999993</v>
      </c>
      <c r="J111" s="447">
        <f t="shared" si="21"/>
        <v>289.1755102040816</v>
      </c>
      <c r="K111" s="95">
        <f>SUMPRODUCT($E$13:$E$15,$J$16:$J$18)+SUMPRODUCT($E$30:$E$32,$M$16:$M$18)+SUMPRODUCT($E$23:$E$25,$M$16:$M$18)</f>
        <v>40</v>
      </c>
      <c r="L111" s="448">
        <f t="shared" si="18"/>
        <v>329.1755102040816</v>
      </c>
      <c r="M111" s="460">
        <f>SUMPRODUCT($C$13:$C$15,$J$16:$J$18)+SUMPRODUCT($C$30:$C$32,$M$16:$M$18)+SUMPRODUCT($C$23:$C$25,$M$16:$M$18)</f>
        <v>9</v>
      </c>
      <c r="N111" s="104">
        <f>SUMPRODUCT($D$13:$D$15,$J$16:$J$18)</f>
        <v>17.399999999999999</v>
      </c>
      <c r="O111" s="104">
        <f>SUMPRODUCT($D$30:$D$32,$M$16:$M$18)</f>
        <v>14</v>
      </c>
      <c r="P111" s="104">
        <v>0</v>
      </c>
      <c r="Q111" s="450">
        <f t="shared" si="33"/>
        <v>25.470941506304804</v>
      </c>
      <c r="R111" s="1310">
        <f>(J$15+1-$J$15)*$O$2+25</f>
        <v>65.16326530612244</v>
      </c>
      <c r="S111" s="1310">
        <f>(J$15+M$15+1-$J$15)*$O$2+$E$13+D111*$O$3</f>
        <v>221.71836734693878</v>
      </c>
      <c r="T111" s="1310">
        <v>0</v>
      </c>
      <c r="U111" s="451">
        <f t="shared" si="29"/>
        <v>0.68313140272781003</v>
      </c>
      <c r="V111" s="451">
        <f t="shared" si="22"/>
        <v>0.54964595621777823</v>
      </c>
      <c r="W111" s="451">
        <v>0</v>
      </c>
      <c r="X111" s="452">
        <f t="shared" si="23"/>
        <v>1</v>
      </c>
      <c r="Y111" s="447">
        <f t="shared" si="24"/>
        <v>6884.0763175368284</v>
      </c>
      <c r="Z111" s="447">
        <f t="shared" si="30"/>
        <v>3089.8757405435285</v>
      </c>
      <c r="AA111" s="447">
        <f>SUMPRODUCT($F$30:$F$32,$M$16:$M$18)*MIN(Q111/O111,1)*X111</f>
        <v>1462.7610770499225</v>
      </c>
      <c r="AB111" s="28">
        <f t="shared" si="34"/>
        <v>1190.4605772048644</v>
      </c>
      <c r="AC111" s="447">
        <v>0</v>
      </c>
      <c r="AD111" s="447">
        <v>0</v>
      </c>
      <c r="AE111" s="447">
        <v>0</v>
      </c>
      <c r="AF111" s="448">
        <f t="shared" si="20"/>
        <v>12627.173712335145</v>
      </c>
      <c r="AG111" s="453">
        <f t="shared" si="25"/>
        <v>495.74821210317452</v>
      </c>
      <c r="AH111" s="454">
        <f t="shared" si="31"/>
        <v>-8.0709415063048056</v>
      </c>
      <c r="AI111" s="104">
        <f t="shared" si="26"/>
        <v>-11.470941506304804</v>
      </c>
      <c r="AJ111" s="455">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5">
        <v>1</v>
      </c>
      <c r="D112">
        <v>1</v>
      </c>
      <c r="E112">
        <v>1</v>
      </c>
      <c r="F112" s="197">
        <v>0</v>
      </c>
      <c r="G112" s="197">
        <v>0</v>
      </c>
      <c r="H112" s="446">
        <f t="shared" si="17"/>
        <v>3</v>
      </c>
      <c r="I112" s="106">
        <f>K$15+M$15+M$15</f>
        <v>8.1999999999999993</v>
      </c>
      <c r="J112" s="447">
        <f t="shared" si="21"/>
        <v>329.33877551020402</v>
      </c>
      <c r="K112" s="95">
        <f>SUMPRODUCT($E$14:$E$16,$K$16:$K$18)+SUMPRODUCT($E$30:$E$32,$M$16:$M$18)+SUMPRODUCT($E$23:$E$25,$M$16:$M$18)</f>
        <v>35</v>
      </c>
      <c r="L112" s="448">
        <f t="shared" si="18"/>
        <v>364.33877551020402</v>
      </c>
      <c r="M112" s="460">
        <f>SUMPRODUCT($C$14:$C$16,$K$16:$K$18)+SUMPRODUCT($C$30:$C$32,$M$16:$M$18)+SUMPRODUCT($C$23:$C$25,$M$16:$M$18)</f>
        <v>10</v>
      </c>
      <c r="N112" s="104">
        <f>SUMPRODUCT($D$14:$D$16,$K$16:$K$18)</f>
        <v>21.75</v>
      </c>
      <c r="O112" s="104">
        <f>SUMPRODUCT($D$30:$D$32,$M$16:$M$18)</f>
        <v>14</v>
      </c>
      <c r="P112" s="104">
        <v>0</v>
      </c>
      <c r="Q112" s="450">
        <f t="shared" si="33"/>
        <v>28.036330717368429</v>
      </c>
      <c r="R112" s="1310">
        <f>(K$15+1-$J$15)*$O$2+25</f>
        <v>105.32653061224489</v>
      </c>
      <c r="S112" s="1310">
        <f>(K$15+M$15+1-$J$15)*$O$2+$E$14+D112*$O$3</f>
        <v>256.88163265306122</v>
      </c>
      <c r="T112" s="1310">
        <v>0</v>
      </c>
      <c r="U112" s="451">
        <f t="shared" si="29"/>
        <v>0.77577912100052149</v>
      </c>
      <c r="V112" s="451">
        <f t="shared" si="22"/>
        <v>0.49935207788539315</v>
      </c>
      <c r="W112" s="451">
        <v>0</v>
      </c>
      <c r="X112" s="452">
        <f t="shared" si="23"/>
        <v>1</v>
      </c>
      <c r="Y112" s="447">
        <f t="shared" si="24"/>
        <v>7840.1980283058319</v>
      </c>
      <c r="Z112" s="447">
        <f t="shared" si="30"/>
        <v>3862.3446756794115</v>
      </c>
      <c r="AA112" s="447">
        <f>SUMPRODUCT($F$30:$F$32,$M$16:$M$18)*MIN(Q112/O112,1)*X112</f>
        <v>1462.7610770499225</v>
      </c>
      <c r="AB112" s="28">
        <f t="shared" si="34"/>
        <v>1190.4605772048644</v>
      </c>
      <c r="AC112" s="447">
        <v>0</v>
      </c>
      <c r="AD112" s="447">
        <v>0</v>
      </c>
      <c r="AE112" s="447">
        <v>0</v>
      </c>
      <c r="AF112" s="448">
        <f t="shared" si="20"/>
        <v>14355.764358240031</v>
      </c>
      <c r="AG112" s="453">
        <f t="shared" si="25"/>
        <v>512.04148299430187</v>
      </c>
      <c r="AH112" s="454">
        <f t="shared" si="31"/>
        <v>-6.2863307173684291</v>
      </c>
      <c r="AI112" s="104">
        <f t="shared" si="26"/>
        <v>-14.036330717368429</v>
      </c>
      <c r="AJ112" s="455">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5">
        <v>1</v>
      </c>
      <c r="D113">
        <v>1</v>
      </c>
      <c r="E113">
        <v>1</v>
      </c>
      <c r="F113" s="197">
        <v>0</v>
      </c>
      <c r="G113" s="197">
        <v>0</v>
      </c>
      <c r="H113" s="446">
        <f t="shared" si="17"/>
        <v>3</v>
      </c>
      <c r="I113" s="106">
        <f>L$15+M$15+M$15</f>
        <v>9.1999999999999993</v>
      </c>
      <c r="J113" s="447">
        <f t="shared" si="21"/>
        <v>369.50204081632648</v>
      </c>
      <c r="K113" s="95">
        <f>SUMPRODUCT($E$15:$E$17,$L$16:$L$18)+SUMPRODUCT($E$30:$E$32,$M$16:$M$18)+SUMPRODUCT($E$23:$E$25,$M$16:$M$18)</f>
        <v>30</v>
      </c>
      <c r="L113" s="448">
        <f t="shared" si="18"/>
        <v>399.50204081632648</v>
      </c>
      <c r="M113" s="460">
        <f>SUMPRODUCT($C$15:$C$17,$L$16:$L$18)+SUMPRODUCT($C$30:$C$32,$M$16:$M$18)+SUMPRODUCT($C$23:$C$25,$M$16:$M$18)</f>
        <v>11</v>
      </c>
      <c r="N113" s="104">
        <f>SUMPRODUCT($D$15:$D$17,$L$16:$L$18)</f>
        <v>26.099999999999998</v>
      </c>
      <c r="O113" s="104">
        <f>SUMPRODUCT($D$30:$D$32,$M$16:$M$18)</f>
        <v>14</v>
      </c>
      <c r="P113" s="104">
        <v>0</v>
      </c>
      <c r="Q113" s="450">
        <f t="shared" si="33"/>
        <v>30.601719928432061</v>
      </c>
      <c r="R113" s="1310">
        <f>(L$15+1-$J$15)*$O$2+25</f>
        <v>145.48979591836735</v>
      </c>
      <c r="S113" s="1310">
        <f>(L$15+M$15+1-$J$15)*$O$2+$E$15+D113*$O$3</f>
        <v>292.04489795918369</v>
      </c>
      <c r="T113" s="1310">
        <v>0</v>
      </c>
      <c r="U113" s="451">
        <f t="shared" si="29"/>
        <v>0.85289323806112238</v>
      </c>
      <c r="V113" s="451">
        <f t="shared" si="22"/>
        <v>0.4574906257799124</v>
      </c>
      <c r="W113" s="451">
        <v>0</v>
      </c>
      <c r="X113" s="452">
        <f t="shared" si="23"/>
        <v>1</v>
      </c>
      <c r="Y113" s="447">
        <f t="shared" si="24"/>
        <v>8796.3197390748355</v>
      </c>
      <c r="Z113" s="447">
        <f t="shared" si="30"/>
        <v>4634.813610815293</v>
      </c>
      <c r="AA113" s="447">
        <f>SUMPRODUCT($F$30:$F$32,$M$16:$M$18)*MIN(Q113/O113,1)*X113</f>
        <v>1462.7610770499225</v>
      </c>
      <c r="AB113" s="28">
        <f t="shared" si="34"/>
        <v>1190.4605772048644</v>
      </c>
      <c r="AC113" s="447">
        <v>0</v>
      </c>
      <c r="AD113" s="447">
        <v>0</v>
      </c>
      <c r="AE113" s="447">
        <v>0</v>
      </c>
      <c r="AF113" s="448">
        <f t="shared" si="20"/>
        <v>16084.355004144916</v>
      </c>
      <c r="AG113" s="453">
        <f t="shared" si="25"/>
        <v>525.60297400803734</v>
      </c>
      <c r="AH113" s="454">
        <f t="shared" si="31"/>
        <v>-4.5017199284320633</v>
      </c>
      <c r="AI113" s="104">
        <f t="shared" si="26"/>
        <v>-16.601719928432061</v>
      </c>
      <c r="AJ113" s="455">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5">
        <v>1</v>
      </c>
      <c r="D114">
        <v>1</v>
      </c>
      <c r="E114">
        <v>1</v>
      </c>
      <c r="F114" s="197">
        <v>0</v>
      </c>
      <c r="G114" s="197">
        <v>0</v>
      </c>
      <c r="H114" s="446">
        <f t="shared" si="17"/>
        <v>3</v>
      </c>
      <c r="I114" s="106">
        <f>M$15+M$15+M$15</f>
        <v>10.199999999999999</v>
      </c>
      <c r="J114" s="447">
        <f t="shared" si="21"/>
        <v>409.66530612244895</v>
      </c>
      <c r="K114" s="95">
        <f>SUMPRODUCT($E$16:$E$18,$M$16:$M$18)+SUMPRODUCT($E$30:$E$32,$M$16:$M$18)+SUMPRODUCT($E$23:$E$25,$M$16:$M$18)</f>
        <v>25</v>
      </c>
      <c r="L114" s="448">
        <f t="shared" si="18"/>
        <v>434.66530612244895</v>
      </c>
      <c r="M114" s="460">
        <f>SUMPRODUCT($C$16:$C$18,$M$16:$M$18)+SUMPRODUCT($C$30:$C$32,$M$16:$M$18)+SUMPRODUCT($C$23:$C$25,$M$16:$M$18)</f>
        <v>12</v>
      </c>
      <c r="N114" s="104">
        <f>SUMPRODUCT($D$16:$D$18,$M$16:$M$18)</f>
        <v>30.45</v>
      </c>
      <c r="O114" s="104">
        <f>SUMPRODUCT($D$30:$D$32,$M$16:$M$18)</f>
        <v>14</v>
      </c>
      <c r="P114" s="104">
        <v>0</v>
      </c>
      <c r="Q114" s="450">
        <f t="shared" si="33"/>
        <v>33.167109139495686</v>
      </c>
      <c r="R114" s="1310">
        <f>(M$15+1-$J$15)*$O$2+25</f>
        <v>185.65306122448979</v>
      </c>
      <c r="S114" s="1310">
        <f>(M$15+M$15+1-$J$15)*$O$2+$E$16+D114*$O$3</f>
        <v>327.2081632653061</v>
      </c>
      <c r="T114" s="1310">
        <v>0</v>
      </c>
      <c r="U114" s="451">
        <f t="shared" si="29"/>
        <v>0.9180782042815987</v>
      </c>
      <c r="V114" s="451">
        <f t="shared" si="22"/>
        <v>0.42210492150878104</v>
      </c>
      <c r="W114" s="451">
        <v>0</v>
      </c>
      <c r="X114" s="452">
        <f t="shared" si="23"/>
        <v>1</v>
      </c>
      <c r="Y114" s="447">
        <f t="shared" si="24"/>
        <v>9752.44144984384</v>
      </c>
      <c r="Z114" s="447">
        <f t="shared" si="30"/>
        <v>5407.2825459511769</v>
      </c>
      <c r="AA114" s="447">
        <f>SUMPRODUCT($F$30:$F$32,$M$16:$M$18)*MIN(Q114/O114,1)*X114</f>
        <v>1462.7610770499225</v>
      </c>
      <c r="AB114" s="28">
        <f t="shared" si="34"/>
        <v>1190.4605772048644</v>
      </c>
      <c r="AC114" s="447">
        <v>0</v>
      </c>
      <c r="AD114" s="447">
        <v>0</v>
      </c>
      <c r="AE114" s="447">
        <v>0</v>
      </c>
      <c r="AF114" s="448">
        <f t="shared" si="20"/>
        <v>17812.945650049802</v>
      </c>
      <c r="AG114" s="453">
        <f t="shared" si="25"/>
        <v>537.06657324674666</v>
      </c>
      <c r="AH114" s="454">
        <f t="shared" si="31"/>
        <v>-2.7171091394956868</v>
      </c>
      <c r="AI114" s="104">
        <f t="shared" si="26"/>
        <v>-19.167109139495686</v>
      </c>
      <c r="AJ114" s="455">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5">
        <v>1</v>
      </c>
      <c r="D115">
        <v>1</v>
      </c>
      <c r="E115">
        <v>1</v>
      </c>
      <c r="F115" s="197">
        <v>0</v>
      </c>
      <c r="G115" s="197">
        <v>0</v>
      </c>
      <c r="H115" s="446">
        <f t="shared" si="17"/>
        <v>3</v>
      </c>
      <c r="I115" s="106">
        <f>N$15+M$15+M$15</f>
        <v>11.200000000000001</v>
      </c>
      <c r="J115" s="447">
        <f t="shared" si="21"/>
        <v>449.82857142857148</v>
      </c>
      <c r="K115" s="95">
        <f>SUMPRODUCT($E$17:$E$19,$N$16:$N$18)+SUMPRODUCT($E$30:$E$32,$M$16:$M$18)+SUMPRODUCT($E$23:$E$25,$M$16:$M$18)</f>
        <v>20</v>
      </c>
      <c r="L115" s="448">
        <f t="shared" si="18"/>
        <v>469.82857142857148</v>
      </c>
      <c r="M115" s="460">
        <f>SUMPRODUCT($C$17:$C$19,$N$16:$N$18)+SUMPRODUCT($C$30:$C$32,$M$16:$M$18)+SUMPRODUCT($C$23:$C$25,$M$16:$M$18)</f>
        <v>13</v>
      </c>
      <c r="N115" s="104">
        <f>SUMPRODUCT($D$17:$D$19,$N$16:$N$18)</f>
        <v>34.799999999999997</v>
      </c>
      <c r="O115" s="104">
        <f>SUMPRODUCT($D$30:$D$32,$M$16:$M$18)</f>
        <v>14</v>
      </c>
      <c r="P115" s="104">
        <v>0</v>
      </c>
      <c r="Q115" s="450">
        <f t="shared" si="33"/>
        <v>35.732498350559325</v>
      </c>
      <c r="R115" s="1310">
        <f>(N$15+1-$J$15)*$O$2+25</f>
        <v>225.81632653061223</v>
      </c>
      <c r="S115" s="1310">
        <f>(N$15+M$15+1-$J$15)*$O$2+$E$17+D115*$O$3</f>
        <v>362.37142857142857</v>
      </c>
      <c r="T115" s="1310">
        <v>0</v>
      </c>
      <c r="U115" s="451">
        <f t="shared" si="29"/>
        <v>0.97390335426840557</v>
      </c>
      <c r="V115" s="451">
        <f t="shared" si="22"/>
        <v>0.39180019999303678</v>
      </c>
      <c r="W115" s="451">
        <v>0</v>
      </c>
      <c r="X115" s="452">
        <f t="shared" si="23"/>
        <v>1</v>
      </c>
      <c r="Y115" s="447">
        <f t="shared" si="24"/>
        <v>10708.563160612846</v>
      </c>
      <c r="Z115" s="447">
        <f t="shared" si="30"/>
        <v>6179.7514810870571</v>
      </c>
      <c r="AA115" s="447">
        <f>SUMPRODUCT($F$30:$F$32,$M$16:$M$18)*MIN(Q115/O115,1)*X115</f>
        <v>1462.7610770499225</v>
      </c>
      <c r="AB115" s="28">
        <f t="shared" si="34"/>
        <v>1190.4605772048644</v>
      </c>
      <c r="AC115" s="447">
        <v>0</v>
      </c>
      <c r="AD115" s="447">
        <v>0</v>
      </c>
      <c r="AE115" s="447">
        <v>0</v>
      </c>
      <c r="AF115" s="448">
        <f t="shared" si="20"/>
        <v>19541.536295954691</v>
      </c>
      <c r="AG115" s="453">
        <f t="shared" si="25"/>
        <v>546.88413063758821</v>
      </c>
      <c r="AH115" s="454">
        <f t="shared" si="31"/>
        <v>-0.93249835055932806</v>
      </c>
      <c r="AI115" s="104">
        <f t="shared" si="26"/>
        <v>-21.732498350559325</v>
      </c>
      <c r="AJ115" s="455">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8">
        <v>1</v>
      </c>
      <c r="D116" s="28">
        <v>1</v>
      </c>
      <c r="E116" s="28">
        <v>1</v>
      </c>
      <c r="F116" s="197">
        <v>0</v>
      </c>
      <c r="G116" s="197">
        <v>0</v>
      </c>
      <c r="H116" s="414">
        <f t="shared" si="17"/>
        <v>3</v>
      </c>
      <c r="I116" s="106">
        <f>J$15+N$15+M$15</f>
        <v>8.2000000000000011</v>
      </c>
      <c r="J116" s="106">
        <f t="shared" si="21"/>
        <v>329.33877551020413</v>
      </c>
      <c r="K116" s="95">
        <f>SUMPRODUCT($E$13:$E$15,$J$16:$J$18)+SUMPRODUCT($E$31:$E$33,$N$16:$N$18)+SUMPRODUCT($E$23:$E$25,$M$16:$M$18)</f>
        <v>35</v>
      </c>
      <c r="L116" s="459">
        <f t="shared" si="18"/>
        <v>364.33877551020413</v>
      </c>
      <c r="M116" s="460">
        <f>SUMPRODUCT($C$13:$C$15,$J$16:$J$18)+SUMPRODUCT($C$31:$C$33,$N$16:$N$18)+SUMPRODUCT($C$23:$C$25,$M$16:$M$18)</f>
        <v>10</v>
      </c>
      <c r="N116" s="105">
        <f>SUMPRODUCT($D$13:$D$15,$J$16:$J$18)</f>
        <v>17.399999999999999</v>
      </c>
      <c r="O116" s="105">
        <f>SUMPRODUCT($D$31:$D$33,$N$16:$N$18)</f>
        <v>16</v>
      </c>
      <c r="P116" s="104">
        <v>0</v>
      </c>
      <c r="Q116" s="461">
        <f t="shared" ref="Q116:Q125" si="35">IF(N116&gt;L116/sndeps,L116/sndeps,N116+(L116/sndeps-N116)*sndeps/eps)</f>
        <v>28.307800622602628</v>
      </c>
      <c r="R116" s="1310">
        <f>(J$15+1-$J$15)*$O$2+25</f>
        <v>65.16326530612244</v>
      </c>
      <c r="S116" s="1310">
        <f>(J$15+N$15+1-$J$15)*$O$2+$E$13+D116*$O$3</f>
        <v>261.88163265306122</v>
      </c>
      <c r="T116" s="1310">
        <v>0</v>
      </c>
      <c r="U116" s="159">
        <f t="shared" si="29"/>
        <v>0.61467156109990428</v>
      </c>
      <c r="V116" s="159">
        <f t="shared" si="22"/>
        <v>0.5652152285976132</v>
      </c>
      <c r="W116" s="451">
        <v>0</v>
      </c>
      <c r="X116" s="462">
        <f t="shared" si="23"/>
        <v>1</v>
      </c>
      <c r="Y116" s="106">
        <f t="shared" si="24"/>
        <v>7840.1980283058338</v>
      </c>
      <c r="Z116" s="106">
        <f t="shared" si="30"/>
        <v>3089.8757405435285</v>
      </c>
      <c r="AA116" s="106">
        <f>SUMPRODUCT($F$31:$F$33,$N$16:$N$18)*MIN(Q116/O116,1)*X116</f>
        <v>1759.7269451999114</v>
      </c>
      <c r="AB116" s="28">
        <f t="shared" si="34"/>
        <v>1190.4605772048644</v>
      </c>
      <c r="AC116" s="447">
        <v>0</v>
      </c>
      <c r="AD116" s="447">
        <v>0</v>
      </c>
      <c r="AE116" s="447">
        <v>0</v>
      </c>
      <c r="AF116" s="459">
        <f t="shared" si="20"/>
        <v>13880.261291254137</v>
      </c>
      <c r="AG116" s="453">
        <f t="shared" si="25"/>
        <v>490.33344117067554</v>
      </c>
      <c r="AH116" s="463">
        <f t="shared" si="31"/>
        <v>-10.907800622602629</v>
      </c>
      <c r="AI116" s="105">
        <f t="shared" si="26"/>
        <v>-12.307800622602628</v>
      </c>
      <c r="AJ116" s="455">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8">
        <v>1</v>
      </c>
      <c r="D117" s="28">
        <v>1</v>
      </c>
      <c r="E117" s="28">
        <v>1</v>
      </c>
      <c r="F117" s="197">
        <v>0</v>
      </c>
      <c r="G117" s="197">
        <v>0</v>
      </c>
      <c r="H117" s="414">
        <f t="shared" si="17"/>
        <v>3</v>
      </c>
      <c r="I117" s="106">
        <f>K$15+N$15+M$15</f>
        <v>9.2000000000000011</v>
      </c>
      <c r="J117" s="106">
        <f t="shared" si="21"/>
        <v>369.50204081632654</v>
      </c>
      <c r="K117" s="95">
        <f>SUMPRODUCT($E$14:$E$16,$K$16:$K$18)+SUMPRODUCT($E$31:$E$33,$N$16:$N$18)+SUMPRODUCT($E$23:$E$25,$M$16:$M$18)</f>
        <v>30</v>
      </c>
      <c r="L117" s="459">
        <f t="shared" si="18"/>
        <v>399.50204081632654</v>
      </c>
      <c r="M117" s="460">
        <f>SUMPRODUCT($C$14:$C$16,$K$16:$K$18)+SUMPRODUCT($C$31:$C$33,$N$16:$N$18)+SUMPRODUCT($C$23:$C$25,$M$16:$M$18)</f>
        <v>11</v>
      </c>
      <c r="N117" s="105">
        <f>SUMPRODUCT($D$14:$D$16,$K$16:$K$18)</f>
        <v>21.75</v>
      </c>
      <c r="O117" s="105">
        <f>SUMPRODUCT($D$31:$D$33,$N$16:$N$18)</f>
        <v>16</v>
      </c>
      <c r="P117" s="104">
        <v>0</v>
      </c>
      <c r="Q117" s="461">
        <f t="shared" si="35"/>
        <v>30.873189833666249</v>
      </c>
      <c r="R117" s="1310">
        <f>(K$15+1-$J$15)*$O$2+25</f>
        <v>105.32653061224489</v>
      </c>
      <c r="S117" s="1310">
        <f>(K$15+N$15+1-$J$15)*$O$2+$E$14+D117*$O$3</f>
        <v>297.04489795918369</v>
      </c>
      <c r="T117" s="1310">
        <v>0</v>
      </c>
      <c r="U117" s="159">
        <f t="shared" si="29"/>
        <v>0.70449474502574094</v>
      </c>
      <c r="V117" s="159">
        <f t="shared" si="22"/>
        <v>0.51824900783502781</v>
      </c>
      <c r="W117" s="451">
        <v>0</v>
      </c>
      <c r="X117" s="462">
        <f t="shared" si="23"/>
        <v>1</v>
      </c>
      <c r="Y117" s="106">
        <f t="shared" si="24"/>
        <v>8796.3197390748373</v>
      </c>
      <c r="Z117" s="106">
        <f t="shared" si="30"/>
        <v>3862.3446756794115</v>
      </c>
      <c r="AA117" s="106">
        <f>SUMPRODUCT($F$31:$F$33,$N$16:$N$18)*MIN(Q117/O117,1)*X117</f>
        <v>1759.7269451999114</v>
      </c>
      <c r="AB117" s="28">
        <f t="shared" si="34"/>
        <v>1190.4605772048644</v>
      </c>
      <c r="AC117" s="447">
        <v>0</v>
      </c>
      <c r="AD117" s="447">
        <v>0</v>
      </c>
      <c r="AE117" s="447">
        <v>0</v>
      </c>
      <c r="AF117" s="459">
        <f t="shared" si="20"/>
        <v>15608.851937159023</v>
      </c>
      <c r="AG117" s="453">
        <f t="shared" si="25"/>
        <v>505.5795018672822</v>
      </c>
      <c r="AH117" s="463">
        <f t="shared" si="31"/>
        <v>-9.1231898336662489</v>
      </c>
      <c r="AI117" s="105">
        <f t="shared" si="26"/>
        <v>-14.873189833666249</v>
      </c>
      <c r="AJ117" s="455">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8">
        <v>1</v>
      </c>
      <c r="D118" s="28">
        <v>1</v>
      </c>
      <c r="E118" s="28">
        <v>1</v>
      </c>
      <c r="F118" s="197">
        <v>0</v>
      </c>
      <c r="G118" s="197">
        <v>0</v>
      </c>
      <c r="H118" s="414">
        <f t="shared" si="17"/>
        <v>3</v>
      </c>
      <c r="I118" s="106">
        <f>L$15+N$15+M$15</f>
        <v>10.200000000000001</v>
      </c>
      <c r="J118" s="106">
        <f t="shared" si="21"/>
        <v>409.66530612244901</v>
      </c>
      <c r="K118" s="95">
        <f>SUMPRODUCT($E$15:$E$17,$L$16:$L$18)+SUMPRODUCT($E$31:$E$33,$N$16:$N$18)+SUMPRODUCT($E$23:$E$25,$M$16:$M$18)</f>
        <v>25</v>
      </c>
      <c r="L118" s="459">
        <f t="shared" si="18"/>
        <v>434.66530612244901</v>
      </c>
      <c r="M118" s="460">
        <f>SUMPRODUCT($C$15:$C$17,$L$16:$L$18)+SUMPRODUCT($C$31:$C$33,$N$16:$N$18)+SUMPRODUCT($C$23:$C$25,$M$16:$M$18)</f>
        <v>12</v>
      </c>
      <c r="N118" s="105">
        <f>SUMPRODUCT($D$15:$D$17,$L$16:$L$18)</f>
        <v>26.099999999999998</v>
      </c>
      <c r="O118" s="105">
        <f>SUMPRODUCT($D$31:$D$33,$N$16:$N$18)</f>
        <v>16</v>
      </c>
      <c r="P118" s="104">
        <v>0</v>
      </c>
      <c r="Q118" s="461">
        <f t="shared" si="35"/>
        <v>33.438579044729877</v>
      </c>
      <c r="R118" s="1310">
        <f>(L$15+1-$J$15)*$O$2+25</f>
        <v>145.48979591836735</v>
      </c>
      <c r="S118" s="1310">
        <f>(L$15+N$15+1-$J$15)*$O$2+$E$15+D118*$O$3</f>
        <v>332.2081632653061</v>
      </c>
      <c r="T118" s="1310">
        <v>0</v>
      </c>
      <c r="U118" s="159">
        <f t="shared" si="29"/>
        <v>0.7805355593934401</v>
      </c>
      <c r="V118" s="159">
        <f t="shared" si="22"/>
        <v>0.47848923181207059</v>
      </c>
      <c r="W118" s="451">
        <v>0</v>
      </c>
      <c r="X118" s="462">
        <f t="shared" si="23"/>
        <v>1</v>
      </c>
      <c r="Y118" s="106">
        <f t="shared" si="24"/>
        <v>9752.4414498438418</v>
      </c>
      <c r="Z118" s="106">
        <f t="shared" si="30"/>
        <v>4634.813610815293</v>
      </c>
      <c r="AA118" s="106">
        <f>SUMPRODUCT($F$31:$F$33,$N$16:$N$18)*MIN(Q118/O118,1)*X118</f>
        <v>1759.7269451999114</v>
      </c>
      <c r="AB118" s="28">
        <f t="shared" si="34"/>
        <v>1190.4605772048644</v>
      </c>
      <c r="AC118" s="447">
        <v>0</v>
      </c>
      <c r="AD118" s="447">
        <v>0</v>
      </c>
      <c r="AE118" s="447">
        <v>0</v>
      </c>
      <c r="AF118" s="459">
        <f t="shared" si="20"/>
        <v>17337.442583063912</v>
      </c>
      <c r="AG118" s="453">
        <f t="shared" si="25"/>
        <v>518.48622394725828</v>
      </c>
      <c r="AH118" s="463">
        <f t="shared" si="31"/>
        <v>-7.3385790447298795</v>
      </c>
      <c r="AI118" s="105">
        <f t="shared" si="26"/>
        <v>-17.438579044729877</v>
      </c>
      <c r="AJ118" s="455">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8">
        <v>1</v>
      </c>
      <c r="D119" s="28">
        <v>1</v>
      </c>
      <c r="E119" s="28">
        <v>1</v>
      </c>
      <c r="F119" s="197">
        <v>0</v>
      </c>
      <c r="G119" s="197">
        <v>0</v>
      </c>
      <c r="H119" s="414">
        <f t="shared" si="17"/>
        <v>3</v>
      </c>
      <c r="I119" s="106">
        <f>M$15+N$15+M$15</f>
        <v>11.200000000000001</v>
      </c>
      <c r="J119" s="106">
        <f t="shared" si="21"/>
        <v>449.82857142857148</v>
      </c>
      <c r="K119" s="95">
        <f>SUMPRODUCT($E$16:$E$18,$M$16:$M$18)+SUMPRODUCT($E$31:$E$33,$N$16:$N$18)+SUMPRODUCT($E$23:$E$25,$M$16:$M$18)</f>
        <v>20</v>
      </c>
      <c r="L119" s="459">
        <f t="shared" si="18"/>
        <v>469.82857142857148</v>
      </c>
      <c r="M119" s="460">
        <f>SUMPRODUCT($C$16:$C$18,$M$16:$M$18)+SUMPRODUCT($C$31:$C$33,$N$16:$N$18)+SUMPRODUCT($C$23:$C$25,$M$16:$M$18)</f>
        <v>13</v>
      </c>
      <c r="N119" s="105">
        <f>SUMPRODUCT($D$16:$D$18,$M$16:$M$18)</f>
        <v>30.45</v>
      </c>
      <c r="O119" s="105">
        <f>SUMPRODUCT($D$31:$D$33,$N$16:$N$18)</f>
        <v>16</v>
      </c>
      <c r="P119" s="104">
        <v>0</v>
      </c>
      <c r="Q119" s="461">
        <f t="shared" si="35"/>
        <v>36.003968255793509</v>
      </c>
      <c r="R119" s="1310">
        <f>(M$15+1-$J$15)*$O$2+25</f>
        <v>185.65306122448979</v>
      </c>
      <c r="S119" s="1310">
        <f>(M$15+N$15+1-$J$15)*$O$2+$E$16+D119*$O$3</f>
        <v>367.37142857142857</v>
      </c>
      <c r="T119" s="1310">
        <v>0</v>
      </c>
      <c r="U119" s="159">
        <f t="shared" si="29"/>
        <v>0.84574010796990962</v>
      </c>
      <c r="V119" s="159">
        <f t="shared" si="22"/>
        <v>0.44439545903180799</v>
      </c>
      <c r="W119" s="451">
        <v>0</v>
      </c>
      <c r="X119" s="462">
        <f t="shared" si="23"/>
        <v>1</v>
      </c>
      <c r="Y119" s="106">
        <f t="shared" si="24"/>
        <v>10708.563160612846</v>
      </c>
      <c r="Z119" s="106">
        <f t="shared" si="30"/>
        <v>5407.2825459511769</v>
      </c>
      <c r="AA119" s="106">
        <f>SUMPRODUCT($F$31:$F$33,$N$16:$N$18)*MIN(Q119/O119,1)*X119</f>
        <v>1759.7269451999114</v>
      </c>
      <c r="AB119" s="28">
        <f t="shared" si="34"/>
        <v>1190.4605772048644</v>
      </c>
      <c r="AC119" s="447">
        <v>0</v>
      </c>
      <c r="AD119" s="447">
        <v>0</v>
      </c>
      <c r="AE119" s="447">
        <v>0</v>
      </c>
      <c r="AF119" s="459">
        <f t="shared" si="20"/>
        <v>19066.033228968798</v>
      </c>
      <c r="AG119" s="453">
        <f t="shared" si="25"/>
        <v>529.55366179395583</v>
      </c>
      <c r="AH119" s="463">
        <f t="shared" si="31"/>
        <v>-5.5539682557935102</v>
      </c>
      <c r="AI119" s="105">
        <f t="shared" si="26"/>
        <v>-20.003968255793509</v>
      </c>
      <c r="AJ119" s="455">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8">
        <v>1</v>
      </c>
      <c r="D120" s="28">
        <v>1</v>
      </c>
      <c r="E120" s="28">
        <v>1</v>
      </c>
      <c r="F120" s="197">
        <v>0</v>
      </c>
      <c r="G120" s="197">
        <v>0</v>
      </c>
      <c r="H120" s="414">
        <f t="shared" si="17"/>
        <v>3</v>
      </c>
      <c r="I120" s="106">
        <f>N$15+N$15+M$15</f>
        <v>12.200000000000001</v>
      </c>
      <c r="J120" s="106">
        <f t="shared" ref="J120:J150" si="36">I120*$O$2</f>
        <v>489.99183673469389</v>
      </c>
      <c r="K120" s="95">
        <f>SUMPRODUCT($E$17:$E$19,$N$16:$N$18)+SUMPRODUCT($E$31:$E$33,$N$16:$N$18)+SUMPRODUCT($E$23:$E$25,$M$16:$M$18)</f>
        <v>15</v>
      </c>
      <c r="L120" s="459">
        <f t="shared" si="18"/>
        <v>504.99183673469389</v>
      </c>
      <c r="M120" s="460">
        <f>SUMPRODUCT($C$17:$C$19,$N$16:$N$18)+SUMPRODUCT($C$31:$C$33,$N$16:$N$18)+SUMPRODUCT($C$23:$C$25,$M$16:$M$18)</f>
        <v>14</v>
      </c>
      <c r="N120" s="105">
        <f>SUMPRODUCT($D$17:$D$19,$N$16:$N$18)</f>
        <v>34.799999999999997</v>
      </c>
      <c r="O120" s="105">
        <f>SUMPRODUCT($D$31:$D$33,$N$16:$N$18)</f>
        <v>16</v>
      </c>
      <c r="P120" s="104">
        <v>0</v>
      </c>
      <c r="Q120" s="461">
        <f t="shared" si="35"/>
        <v>38.569357466857134</v>
      </c>
      <c r="R120" s="1310">
        <f>(N$15+1-$J$15)*$O$2+25</f>
        <v>225.81632653061223</v>
      </c>
      <c r="S120" s="1310">
        <f>(N$15+N$15+1-$J$15)*$O$2+$E$17+D120*$O$3</f>
        <v>402.53469387755104</v>
      </c>
      <c r="T120" s="1310">
        <v>0</v>
      </c>
      <c r="U120" s="159">
        <f t="shared" si="29"/>
        <v>0.9022706699198666</v>
      </c>
      <c r="V120" s="159">
        <f t="shared" ref="V120:V150" si="37">IF(O120&gt;0,MIN(1,O120/Q120),0)</f>
        <v>0.41483708961832955</v>
      </c>
      <c r="W120" s="451">
        <v>0</v>
      </c>
      <c r="X120" s="462">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7">
        <v>0</v>
      </c>
      <c r="AD120" s="447">
        <v>0</v>
      </c>
      <c r="AE120" s="447">
        <v>0</v>
      </c>
      <c r="AF120" s="459">
        <f t="shared" si="20"/>
        <v>20794.623874873683</v>
      </c>
      <c r="AG120" s="453">
        <f t="shared" ref="AG120:AG150" si="40">IF(AND(forceea,W120=0),0,IF(time=0, AF120/Q120, IF(time&lt;Q120, 0, AF120/Q120))*AQ120)</f>
        <v>539.14882799752684</v>
      </c>
      <c r="AH120" s="463">
        <f t="shared" si="31"/>
        <v>-3.7693574668571372</v>
      </c>
      <c r="AI120" s="105">
        <f t="shared" ref="AI120:AI150" si="41">O120-$Q120</f>
        <v>-22.569357466857134</v>
      </c>
      <c r="AJ120" s="455">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5">
        <v>1</v>
      </c>
      <c r="D121">
        <v>1</v>
      </c>
      <c r="E121">
        <v>1</v>
      </c>
      <c r="F121" s="197">
        <v>0</v>
      </c>
      <c r="G121" s="197">
        <v>0</v>
      </c>
      <c r="H121" s="446">
        <f t="shared" si="17"/>
        <v>3</v>
      </c>
      <c r="I121" s="447">
        <f>J$15+L$15+N$15</f>
        <v>7.2</v>
      </c>
      <c r="J121" s="447">
        <f t="shared" si="36"/>
        <v>289.1755102040816</v>
      </c>
      <c r="K121" s="94">
        <f>SUMPRODUCT($E$13:$E$15,$J$16:$J$18)+SUMPRODUCT($E$29:$E$31,$L$16:$L$18)+SUMPRODUCT($E$24:$E$26,$N$16:$N$18)</f>
        <v>40</v>
      </c>
      <c r="L121" s="448">
        <f t="shared" si="18"/>
        <v>329.1755102040816</v>
      </c>
      <c r="M121" s="457">
        <f>SUMPRODUCT($C$13:$C$15,$J$16:$J$18)+SUMPRODUCT($C$29:$C$31,$L$16:$L$18)+SUMPRODUCT($C$24:$C$26,$N$16:$N$18)</f>
        <v>9</v>
      </c>
      <c r="N121" s="104">
        <f>SUMPRODUCT($D$13:$D$15,$J$16:$J$18)</f>
        <v>17.399999999999999</v>
      </c>
      <c r="O121" s="104">
        <f>SUMPRODUCT($D$29:$D$31,$L$16:$L$18)</f>
        <v>12</v>
      </c>
      <c r="P121" s="104">
        <v>0</v>
      </c>
      <c r="Q121" s="450">
        <f t="shared" si="35"/>
        <v>25.470941506304804</v>
      </c>
      <c r="R121" s="1310">
        <f>(J$15+1-$J$15)*$O$2+25</f>
        <v>65.16326530612244</v>
      </c>
      <c r="S121" s="1310">
        <f>(J$15+L$15+1-$J$15)*$O$2+$E$13+D121*$O$3</f>
        <v>181.55510204081631</v>
      </c>
      <c r="T121" s="1310">
        <v>0</v>
      </c>
      <c r="U121" s="451">
        <f t="shared" si="29"/>
        <v>0.68313140272781003</v>
      </c>
      <c r="V121" s="451">
        <f t="shared" si="37"/>
        <v>0.47112510532952417</v>
      </c>
      <c r="W121" s="451">
        <v>0</v>
      </c>
      <c r="X121" s="452">
        <f t="shared" si="38"/>
        <v>1</v>
      </c>
      <c r="Y121" s="447">
        <f t="shared" si="39"/>
        <v>6884.0763175368284</v>
      </c>
      <c r="Z121" s="447">
        <f t="shared" si="30"/>
        <v>3089.8757405435285</v>
      </c>
      <c r="AA121" s="447">
        <f>SUMPRODUCT($F$29:$F$31,$L$16:$L$18)*MIN(Q121/O121,1)*X121</f>
        <v>1187.7952088999336</v>
      </c>
      <c r="AB121">
        <f t="shared" ref="AB121:AB135" si="43">SUMPRODUCT($F$24:$F$26,$N$16:$N$18)*X121</f>
        <v>1459.2710844590233</v>
      </c>
      <c r="AC121" s="447">
        <v>0</v>
      </c>
      <c r="AD121" s="447">
        <v>0</v>
      </c>
      <c r="AE121" s="447">
        <v>0</v>
      </c>
      <c r="AF121" s="448">
        <f t="shared" si="20"/>
        <v>12621.018351439314</v>
      </c>
      <c r="AG121" s="453">
        <f t="shared" si="40"/>
        <v>495.50655001564201</v>
      </c>
      <c r="AH121" s="454">
        <f t="shared" si="31"/>
        <v>-8.0709415063048056</v>
      </c>
      <c r="AI121" s="104">
        <f t="shared" si="41"/>
        <v>-13.470941506304804</v>
      </c>
      <c r="AJ121" s="455">
        <v>0</v>
      </c>
      <c r="AK121" s="456"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5">
        <v>1</v>
      </c>
      <c r="D122">
        <v>1</v>
      </c>
      <c r="E122">
        <v>1</v>
      </c>
      <c r="F122" s="197">
        <v>0</v>
      </c>
      <c r="G122" s="197">
        <v>0</v>
      </c>
      <c r="H122" s="446">
        <f t="shared" si="17"/>
        <v>3</v>
      </c>
      <c r="I122" s="447">
        <f>K$15+L$15+N$15</f>
        <v>8.1999999999999993</v>
      </c>
      <c r="J122" s="447">
        <f t="shared" si="36"/>
        <v>329.33877551020402</v>
      </c>
      <c r="K122" s="94">
        <f>SUMPRODUCT($E$14:$E$16,$K$16:$K$18)+SUMPRODUCT($E$29:$E$31,$L$16:$L$18)+SUMPRODUCT($E$24:$E$26,$N$16:$N$18)</f>
        <v>35</v>
      </c>
      <c r="L122" s="448">
        <f t="shared" si="18"/>
        <v>364.33877551020402</v>
      </c>
      <c r="M122" s="457">
        <f>SUMPRODUCT($C$14:$C$16,$K$16:$K$18)+SUMPRODUCT($C$29:$C$31,$L$16:$L$18)+SUMPRODUCT($C$24:$C$26,$N$16:$N$18)</f>
        <v>10</v>
      </c>
      <c r="N122" s="104">
        <f>SUMPRODUCT($D$14:$D$16,$K$16:$K$18)</f>
        <v>21.75</v>
      </c>
      <c r="O122" s="104">
        <f>SUMPRODUCT($D$29:$D$31,$L$16:$L$18)</f>
        <v>12</v>
      </c>
      <c r="P122" s="104">
        <v>0</v>
      </c>
      <c r="Q122" s="450">
        <f t="shared" si="35"/>
        <v>28.036330717368429</v>
      </c>
      <c r="R122" s="1310">
        <f>(K$15+1-$J$15)*$O$2+25</f>
        <v>105.32653061224489</v>
      </c>
      <c r="S122" s="1310">
        <f>(K$15+L$15+1-$J$15)*$O$2+$E$14+D122*$O$3</f>
        <v>216.71836734693878</v>
      </c>
      <c r="T122" s="1310">
        <v>0</v>
      </c>
      <c r="U122" s="451">
        <f t="shared" si="29"/>
        <v>0.77577912100052149</v>
      </c>
      <c r="V122" s="451">
        <f t="shared" si="37"/>
        <v>0.42801606675890841</v>
      </c>
      <c r="W122" s="451">
        <v>0</v>
      </c>
      <c r="X122" s="452">
        <f t="shared" si="38"/>
        <v>1</v>
      </c>
      <c r="Y122" s="447">
        <f t="shared" si="39"/>
        <v>7840.1980283058319</v>
      </c>
      <c r="Z122" s="447">
        <f t="shared" si="30"/>
        <v>3862.3446756794115</v>
      </c>
      <c r="AA122" s="447">
        <f>SUMPRODUCT($F$29:$F$31,$L$16:$L$18)*MIN(Q122/O122,1)*X122</f>
        <v>1187.7952088999336</v>
      </c>
      <c r="AB122">
        <f t="shared" si="43"/>
        <v>1459.2710844590233</v>
      </c>
      <c r="AC122" s="447">
        <v>0</v>
      </c>
      <c r="AD122" s="447">
        <v>0</v>
      </c>
      <c r="AE122" s="447">
        <v>0</v>
      </c>
      <c r="AF122" s="448">
        <f t="shared" si="20"/>
        <v>14349.608997344201</v>
      </c>
      <c r="AG122" s="453">
        <f t="shared" si="40"/>
        <v>511.82193354762569</v>
      </c>
      <c r="AH122" s="454">
        <f t="shared" si="31"/>
        <v>-6.2863307173684291</v>
      </c>
      <c r="AI122" s="104">
        <f t="shared" si="41"/>
        <v>-16.036330717368429</v>
      </c>
      <c r="AJ122" s="455">
        <v>0</v>
      </c>
      <c r="AK122" s="456"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5">
        <v>1</v>
      </c>
      <c r="D123">
        <v>1</v>
      </c>
      <c r="E123">
        <v>1</v>
      </c>
      <c r="F123" s="197">
        <v>0</v>
      </c>
      <c r="G123" s="197">
        <v>0</v>
      </c>
      <c r="H123" s="446">
        <f t="shared" si="17"/>
        <v>3</v>
      </c>
      <c r="I123" s="447">
        <f>L$15+L$15+N$15</f>
        <v>9.1999999999999993</v>
      </c>
      <c r="J123" s="447">
        <f t="shared" si="36"/>
        <v>369.50204081632648</v>
      </c>
      <c r="K123" s="94">
        <f>SUMPRODUCT($E$15:$E$17,$L$16:$L$18)+SUMPRODUCT($E$29:$E$31,$L$16:$L$18)+SUMPRODUCT($E$24:$E$26,$N$16:$N$18)</f>
        <v>30</v>
      </c>
      <c r="L123" s="448">
        <f t="shared" si="18"/>
        <v>399.50204081632648</v>
      </c>
      <c r="M123" s="457">
        <f>SUMPRODUCT($C$15:$C$17,$L$16:$L$18)+SUMPRODUCT($C$29:$C$31,$L$16:$L$18)+SUMPRODUCT($C$24:$C$26,$N$16:$N$18)</f>
        <v>11</v>
      </c>
      <c r="N123" s="104">
        <f>SUMPRODUCT($D$15:$D$17,$L$16:$L$18)</f>
        <v>26.099999999999998</v>
      </c>
      <c r="O123" s="104">
        <f>SUMPRODUCT($D$29:$D$31,$L$16:$L$18)</f>
        <v>12</v>
      </c>
      <c r="P123" s="104">
        <v>0</v>
      </c>
      <c r="Q123" s="450">
        <f t="shared" si="35"/>
        <v>30.601719928432061</v>
      </c>
      <c r="R123" s="1310">
        <f>(L$15+1-$J$15)*$O$2+25</f>
        <v>145.48979591836735</v>
      </c>
      <c r="S123" s="1310">
        <f>(L$15+L$15+1-$J$15)*$O$2+$E$15+D123*$O$3</f>
        <v>251.88163265306122</v>
      </c>
      <c r="T123" s="1310">
        <v>0</v>
      </c>
      <c r="U123" s="451">
        <f t="shared" si="29"/>
        <v>0.85289323806112238</v>
      </c>
      <c r="V123" s="451">
        <f t="shared" si="37"/>
        <v>0.39213482209706779</v>
      </c>
      <c r="W123" s="451">
        <v>0</v>
      </c>
      <c r="X123" s="452">
        <f t="shared" si="38"/>
        <v>1</v>
      </c>
      <c r="Y123" s="447">
        <f t="shared" si="39"/>
        <v>8796.3197390748355</v>
      </c>
      <c r="Z123" s="447">
        <f t="shared" si="30"/>
        <v>4634.813610815293</v>
      </c>
      <c r="AA123" s="447">
        <f>SUMPRODUCT($F$29:$F$31,$L$16:$L$18)*MIN(Q123/O123,1)*X123</f>
        <v>1187.7952088999336</v>
      </c>
      <c r="AB123">
        <f t="shared" si="43"/>
        <v>1459.2710844590233</v>
      </c>
      <c r="AC123" s="447">
        <v>0</v>
      </c>
      <c r="AD123" s="447">
        <v>0</v>
      </c>
      <c r="AE123" s="447">
        <v>0</v>
      </c>
      <c r="AF123" s="448">
        <f t="shared" si="20"/>
        <v>16078.199643249087</v>
      </c>
      <c r="AG123" s="453">
        <f t="shared" si="40"/>
        <v>525.40182972888499</v>
      </c>
      <c r="AH123" s="454">
        <f t="shared" si="31"/>
        <v>-4.5017199284320633</v>
      </c>
      <c r="AI123" s="104">
        <f t="shared" si="41"/>
        <v>-18.601719928432061</v>
      </c>
      <c r="AJ123" s="455">
        <v>0</v>
      </c>
      <c r="AK123" s="456"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5">
        <v>1</v>
      </c>
      <c r="D124">
        <v>1</v>
      </c>
      <c r="E124">
        <v>1</v>
      </c>
      <c r="F124" s="197">
        <v>0</v>
      </c>
      <c r="G124" s="197">
        <v>0</v>
      </c>
      <c r="H124" s="446">
        <f t="shared" si="17"/>
        <v>3</v>
      </c>
      <c r="I124" s="447">
        <f>M$15+L$15+N$15</f>
        <v>10.199999999999999</v>
      </c>
      <c r="J124" s="447">
        <f t="shared" si="36"/>
        <v>409.66530612244895</v>
      </c>
      <c r="K124" s="94">
        <f>SUMPRODUCT($E$16:$E$18,$M$16:$M$18)+SUMPRODUCT($E$29:$E$31,$L$16:$L$18)+SUMPRODUCT($E$24:$E$26,$N$16:$N$18)</f>
        <v>25</v>
      </c>
      <c r="L124" s="448">
        <f t="shared" si="18"/>
        <v>434.66530612244895</v>
      </c>
      <c r="M124" s="457">
        <f>SUMPRODUCT($C$16:$C$18,$M$16:$M$18)+SUMPRODUCT($C$29:$C$31,$L$16:$L$18)+SUMPRODUCT($C$24:$C$26,$N$16:$N$18)</f>
        <v>12</v>
      </c>
      <c r="N124" s="104">
        <f>SUMPRODUCT($D$16:$D$18,$M$16:$M$18)</f>
        <v>30.45</v>
      </c>
      <c r="O124" s="104">
        <f>SUMPRODUCT($D$29:$D$31,$L$16:$L$18)</f>
        <v>12</v>
      </c>
      <c r="P124" s="104">
        <v>0</v>
      </c>
      <c r="Q124" s="450">
        <f t="shared" si="35"/>
        <v>33.167109139495686</v>
      </c>
      <c r="R124" s="1310">
        <f>(M$15+1-$J$15)*$O$2+25</f>
        <v>185.65306122448979</v>
      </c>
      <c r="S124" s="1310">
        <f>(M$15+L$15+1-$J$15)*$O$2+$E$16+D124*$O$3</f>
        <v>287.04489795918369</v>
      </c>
      <c r="T124" s="1310">
        <v>0</v>
      </c>
      <c r="U124" s="451">
        <f t="shared" si="29"/>
        <v>0.9180782042815987</v>
      </c>
      <c r="V124" s="451">
        <f t="shared" si="37"/>
        <v>0.361804218436098</v>
      </c>
      <c r="W124" s="451">
        <v>0</v>
      </c>
      <c r="X124" s="452">
        <f t="shared" si="38"/>
        <v>1</v>
      </c>
      <c r="Y124" s="447">
        <f t="shared" si="39"/>
        <v>9752.44144984384</v>
      </c>
      <c r="Z124" s="447">
        <f t="shared" si="30"/>
        <v>5407.2825459511769</v>
      </c>
      <c r="AA124" s="447">
        <f>SUMPRODUCT($F$29:$F$31,$L$16:$L$18)*MIN(Q124/O124,1)*X124</f>
        <v>1187.7952088999336</v>
      </c>
      <c r="AB124">
        <f t="shared" si="43"/>
        <v>1459.2710844590233</v>
      </c>
      <c r="AC124" s="447">
        <v>0</v>
      </c>
      <c r="AD124" s="447">
        <v>0</v>
      </c>
      <c r="AE124" s="447">
        <v>0</v>
      </c>
      <c r="AF124" s="448">
        <f t="shared" si="20"/>
        <v>17806.790289153974</v>
      </c>
      <c r="AG124" s="453">
        <f t="shared" si="40"/>
        <v>536.88098695190445</v>
      </c>
      <c r="AH124" s="454">
        <f t="shared" si="31"/>
        <v>-2.7171091394956868</v>
      </c>
      <c r="AI124" s="104">
        <f t="shared" si="41"/>
        <v>-21.167109139495686</v>
      </c>
      <c r="AJ124" s="455">
        <v>0</v>
      </c>
      <c r="AK124" s="456"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5">
        <v>1</v>
      </c>
      <c r="D125">
        <v>1</v>
      </c>
      <c r="E125">
        <v>1</v>
      </c>
      <c r="F125" s="197">
        <v>0</v>
      </c>
      <c r="G125" s="197">
        <v>0</v>
      </c>
      <c r="H125" s="446">
        <f t="shared" si="17"/>
        <v>3</v>
      </c>
      <c r="I125" s="447">
        <f>N$15+L$15+N$15</f>
        <v>11.200000000000001</v>
      </c>
      <c r="J125" s="447">
        <f t="shared" si="36"/>
        <v>449.82857142857148</v>
      </c>
      <c r="K125" s="94">
        <f>SUMPRODUCT($E$17:$E$19,$N$16:$N$18)+SUMPRODUCT($E$29:$E$31,$L$16:$L$18)+SUMPRODUCT($E$24:$E$26,$N$16:$N$18)</f>
        <v>20</v>
      </c>
      <c r="L125" s="448">
        <f t="shared" si="18"/>
        <v>469.82857142857148</v>
      </c>
      <c r="M125" s="457">
        <f>SUMPRODUCT($C$17:$C$19,$N$16:$N$18)+SUMPRODUCT($C$29:$C$31,$L$16:$L$18)+SUMPRODUCT($C$24:$C$26,$N$16:$N$18)</f>
        <v>13</v>
      </c>
      <c r="N125" s="104">
        <f>SUMPRODUCT($D$17:$D$19,$N$16:$N$18)</f>
        <v>34.799999999999997</v>
      </c>
      <c r="O125" s="104">
        <f>SUMPRODUCT($D$29:$D$31,$L$16:$L$18)</f>
        <v>12</v>
      </c>
      <c r="P125" s="104">
        <v>0</v>
      </c>
      <c r="Q125" s="450">
        <f t="shared" si="35"/>
        <v>35.732498350559325</v>
      </c>
      <c r="R125" s="1310">
        <f>(N$15+1-$J$15)*$O$2+25</f>
        <v>225.81632653061223</v>
      </c>
      <c r="S125" s="1310">
        <f>(N$15+L$15+1-$J$15)*$O$2+$E$17+D125*$O$3</f>
        <v>322.2081632653061</v>
      </c>
      <c r="T125" s="1310">
        <v>0</v>
      </c>
      <c r="U125" s="451">
        <f t="shared" ref="U125:U150" si="45">IF(N125&gt;0,MIN(1,N125/Q125),0)</f>
        <v>0.97390335426840557</v>
      </c>
      <c r="V125" s="451">
        <f t="shared" si="37"/>
        <v>0.33582874285117437</v>
      </c>
      <c r="W125" s="451">
        <v>0</v>
      </c>
      <c r="X125" s="452">
        <f t="shared" si="38"/>
        <v>1</v>
      </c>
      <c r="Y125" s="447">
        <f t="shared" si="39"/>
        <v>10708.563160612846</v>
      </c>
      <c r="Z125" s="447">
        <f t="shared" ref="Z125:Z150" si="46">Q125*U125*$O$6*(sndfact-1)*$K$4</f>
        <v>6179.7514810870571</v>
      </c>
      <c r="AA125" s="447">
        <f>SUMPRODUCT($F$29:$F$31,$L$16:$L$18)*MIN(Q125/O125,1)*X125</f>
        <v>1187.7952088999336</v>
      </c>
      <c r="AB125">
        <f t="shared" si="43"/>
        <v>1459.2710844590233</v>
      </c>
      <c r="AC125" s="447">
        <v>0</v>
      </c>
      <c r="AD125" s="447">
        <v>0</v>
      </c>
      <c r="AE125" s="447">
        <v>0</v>
      </c>
      <c r="AF125" s="448">
        <f t="shared" si="20"/>
        <v>19535.38093505886</v>
      </c>
      <c r="AG125" s="453">
        <f t="shared" si="40"/>
        <v>546.71186837830135</v>
      </c>
      <c r="AH125" s="454">
        <f t="shared" ref="AH125:AH150" si="47">N125-$Q125</f>
        <v>-0.93249835055932806</v>
      </c>
      <c r="AI125" s="104">
        <f t="shared" si="41"/>
        <v>-23.732498350559325</v>
      </c>
      <c r="AJ125" s="455">
        <v>0</v>
      </c>
      <c r="AK125" s="456"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5">
        <v>1</v>
      </c>
      <c r="D126">
        <v>1</v>
      </c>
      <c r="E126">
        <v>1</v>
      </c>
      <c r="F126" s="197">
        <v>0</v>
      </c>
      <c r="G126" s="197">
        <v>0</v>
      </c>
      <c r="H126" s="446">
        <f t="shared" si="17"/>
        <v>3</v>
      </c>
      <c r="I126" s="447">
        <f>J$15+M$15+N$15</f>
        <v>8.1999999999999993</v>
      </c>
      <c r="J126" s="447">
        <f t="shared" si="36"/>
        <v>329.33877551020402</v>
      </c>
      <c r="K126" s="94">
        <f>SUMPRODUCT($E$13:$E$15,$J$16:$J$18)+SUMPRODUCT($E$30:$E$32,$M$16:$M$18)+SUMPRODUCT($E$24:$E$26,$N$16:$N$18)</f>
        <v>35</v>
      </c>
      <c r="L126" s="448">
        <f t="shared" si="18"/>
        <v>364.33877551020402</v>
      </c>
      <c r="M126" s="457">
        <f>SUMPRODUCT($C$13:$C$15,$J$16:$J$18)+SUMPRODUCT($C$30:$C$32,$M$16:$M$18)+SUMPRODUCT($C$24:$C$26,$N$16:$N$18)</f>
        <v>10</v>
      </c>
      <c r="N126" s="104">
        <f>SUMPRODUCT($D$13:$D$15,$J$16:$J$18)</f>
        <v>17.399999999999999</v>
      </c>
      <c r="O126" s="104">
        <f>SUMPRODUCT($D$30:$D$32,$M$16:$M$18)</f>
        <v>14</v>
      </c>
      <c r="P126" s="104">
        <v>0</v>
      </c>
      <c r="Q126" s="450">
        <f t="shared" ref="Q126:Q150" si="48">IF(N126&gt;L126/sndeps,L126/sndeps,N126+(L126/sndeps-N126)*sndeps/eps)</f>
        <v>28.307800622602613</v>
      </c>
      <c r="R126" s="1310">
        <f>(J$15+1-$J$15)*$O$2+25</f>
        <v>65.16326530612244</v>
      </c>
      <c r="S126" s="1310">
        <f>(J$15+M$15+1-$J$15)*$O$2+$E$13+D126*$O$3</f>
        <v>221.71836734693878</v>
      </c>
      <c r="T126" s="1310">
        <v>0</v>
      </c>
      <c r="U126" s="451">
        <f t="shared" si="45"/>
        <v>0.61467156109990451</v>
      </c>
      <c r="V126" s="451">
        <f t="shared" si="37"/>
        <v>0.49456332502291178</v>
      </c>
      <c r="W126" s="451">
        <v>0</v>
      </c>
      <c r="X126" s="452">
        <f t="shared" si="38"/>
        <v>1</v>
      </c>
      <c r="Y126" s="447">
        <f t="shared" si="39"/>
        <v>7840.1980283058319</v>
      </c>
      <c r="Z126" s="447">
        <f t="shared" si="46"/>
        <v>3089.8757405435285</v>
      </c>
      <c r="AA126" s="447">
        <f>SUMPRODUCT($F$30:$F$32,$M$16:$M$18)*MIN(Q126/O126,1)*X126</f>
        <v>1462.7610770499225</v>
      </c>
      <c r="AB126">
        <f t="shared" si="43"/>
        <v>1459.2710844590233</v>
      </c>
      <c r="AC126" s="447">
        <v>0</v>
      </c>
      <c r="AD126" s="447">
        <v>0</v>
      </c>
      <c r="AE126" s="447">
        <v>0</v>
      </c>
      <c r="AF126" s="448">
        <f t="shared" si="20"/>
        <v>13852.105930358308</v>
      </c>
      <c r="AG126" s="453">
        <f t="shared" si="40"/>
        <v>489.33882624911422</v>
      </c>
      <c r="AH126" s="454">
        <f t="shared" si="47"/>
        <v>-10.907800622602615</v>
      </c>
      <c r="AI126" s="104">
        <f t="shared" si="41"/>
        <v>-14.307800622602613</v>
      </c>
      <c r="AJ126" s="455">
        <v>0</v>
      </c>
      <c r="AK126" s="456"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5">
        <v>1</v>
      </c>
      <c r="D127">
        <v>1</v>
      </c>
      <c r="E127">
        <v>1</v>
      </c>
      <c r="F127" s="197">
        <v>0</v>
      </c>
      <c r="G127" s="197">
        <v>0</v>
      </c>
      <c r="H127" s="446">
        <f t="shared" si="17"/>
        <v>3</v>
      </c>
      <c r="I127" s="447">
        <f>K$15+M$15+N$15</f>
        <v>9.1999999999999993</v>
      </c>
      <c r="J127" s="447">
        <f t="shared" si="36"/>
        <v>369.50204081632648</v>
      </c>
      <c r="K127" s="94">
        <f>SUMPRODUCT($E$14:$E$16,$K$16:$K$18)+SUMPRODUCT($E$30:$E$32,$M$16:$M$18)+SUMPRODUCT($E$24:$E$26,$N$16:$N$18)</f>
        <v>30</v>
      </c>
      <c r="L127" s="448">
        <f t="shared" si="18"/>
        <v>399.50204081632648</v>
      </c>
      <c r="M127" s="457">
        <f>SUMPRODUCT($C$14:$C$16,$K$16:$K$18)+SUMPRODUCT($C$30:$C$32,$M$16:$M$18)+SUMPRODUCT($C$24:$C$26,$N$16:$N$18)</f>
        <v>11</v>
      </c>
      <c r="N127" s="104">
        <f>SUMPRODUCT($D$14:$D$16,$K$16:$K$18)</f>
        <v>21.75</v>
      </c>
      <c r="O127" s="104">
        <f>SUMPRODUCT($D$30:$D$32,$M$16:$M$18)</f>
        <v>14</v>
      </c>
      <c r="P127" s="104">
        <v>0</v>
      </c>
      <c r="Q127" s="450">
        <f t="shared" si="48"/>
        <v>30.873189833666245</v>
      </c>
      <c r="R127" s="1310">
        <f>(K$15+1-$J$15)*$O$2+25</f>
        <v>105.32653061224489</v>
      </c>
      <c r="S127" s="1310">
        <f>(K$15+M$15+1-$J$15)*$O$2+$E$14+D127*$O$3</f>
        <v>256.88163265306122</v>
      </c>
      <c r="T127" s="1310">
        <v>0</v>
      </c>
      <c r="U127" s="451">
        <f t="shared" si="45"/>
        <v>0.70449474502574094</v>
      </c>
      <c r="V127" s="451">
        <f t="shared" si="37"/>
        <v>0.45346788185564935</v>
      </c>
      <c r="W127" s="451">
        <v>0</v>
      </c>
      <c r="X127" s="452">
        <f t="shared" si="38"/>
        <v>1</v>
      </c>
      <c r="Y127" s="447">
        <f t="shared" si="39"/>
        <v>8796.3197390748355</v>
      </c>
      <c r="Z127" s="447">
        <f t="shared" si="46"/>
        <v>3862.3446756794115</v>
      </c>
      <c r="AA127" s="447">
        <f>SUMPRODUCT($F$30:$F$32,$M$16:$M$18)*MIN(Q127/O127,1)*X127</f>
        <v>1462.7610770499225</v>
      </c>
      <c r="AB127">
        <f t="shared" si="43"/>
        <v>1459.2710844590233</v>
      </c>
      <c r="AC127" s="447">
        <v>0</v>
      </c>
      <c r="AD127" s="447">
        <v>0</v>
      </c>
      <c r="AE127" s="447">
        <v>0</v>
      </c>
      <c r="AF127" s="448">
        <f t="shared" si="20"/>
        <v>15580.696576263193</v>
      </c>
      <c r="AG127" s="453">
        <f t="shared" si="40"/>
        <v>504.66753387668848</v>
      </c>
      <c r="AH127" s="454">
        <f t="shared" si="47"/>
        <v>-9.1231898336662454</v>
      </c>
      <c r="AI127" s="104">
        <f t="shared" si="41"/>
        <v>-16.873189833666245</v>
      </c>
      <c r="AJ127" s="455">
        <v>0</v>
      </c>
      <c r="AK127" s="456"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5">
        <v>1</v>
      </c>
      <c r="D128">
        <v>1</v>
      </c>
      <c r="E128">
        <v>1</v>
      </c>
      <c r="F128" s="197">
        <v>0</v>
      </c>
      <c r="G128" s="197">
        <v>0</v>
      </c>
      <c r="H128" s="446">
        <f t="shared" si="17"/>
        <v>3</v>
      </c>
      <c r="I128" s="447">
        <f>L$15+M$15+N$15</f>
        <v>10.199999999999999</v>
      </c>
      <c r="J128" s="447">
        <f t="shared" si="36"/>
        <v>409.66530612244895</v>
      </c>
      <c r="K128" s="94">
        <f>SUMPRODUCT($E$15:$E$17,$L$16:$L$18)+SUMPRODUCT($E$30:$E$32,$M$16:$M$18)+SUMPRODUCT($E$24:$E$26,$N$16:$N$18)</f>
        <v>25</v>
      </c>
      <c r="L128" s="448">
        <f t="shared" si="18"/>
        <v>434.66530612244895</v>
      </c>
      <c r="M128" s="457">
        <f>SUMPRODUCT($C$15:$C$17,$L$16:$L$18)+SUMPRODUCT($C$30:$C$32,$M$16:$M$18)+SUMPRODUCT($C$24:$C$26,$N$16:$N$18)</f>
        <v>12</v>
      </c>
      <c r="N128" s="104">
        <f>SUMPRODUCT($D$15:$D$17,$L$16:$L$18)</f>
        <v>26.099999999999998</v>
      </c>
      <c r="O128" s="104">
        <f>SUMPRODUCT($D$30:$D$32,$M$16:$M$18)</f>
        <v>14</v>
      </c>
      <c r="P128" s="104">
        <v>0</v>
      </c>
      <c r="Q128" s="450">
        <f t="shared" si="48"/>
        <v>33.43857904472987</v>
      </c>
      <c r="R128" s="1310">
        <f>(L$15+1-$J$15)*$O$2+25</f>
        <v>145.48979591836735</v>
      </c>
      <c r="S128" s="1310">
        <f>(L$15+M$15+1-$J$15)*$O$2+$E$15+D128*$O$3</f>
        <v>292.04489795918369</v>
      </c>
      <c r="T128" s="1310">
        <v>0</v>
      </c>
      <c r="U128" s="451">
        <f t="shared" si="45"/>
        <v>0.78053555939344021</v>
      </c>
      <c r="V128" s="451">
        <f t="shared" si="37"/>
        <v>0.41867807783556182</v>
      </c>
      <c r="W128" s="451">
        <v>0</v>
      </c>
      <c r="X128" s="452">
        <f t="shared" si="38"/>
        <v>1</v>
      </c>
      <c r="Y128" s="447">
        <f t="shared" si="39"/>
        <v>9752.44144984384</v>
      </c>
      <c r="Z128" s="447">
        <f t="shared" si="46"/>
        <v>4634.813610815293</v>
      </c>
      <c r="AA128" s="447">
        <f>SUMPRODUCT($F$30:$F$32,$M$16:$M$18)*MIN(Q128/O128,1)*X128</f>
        <v>1462.7610770499225</v>
      </c>
      <c r="AB128">
        <f t="shared" si="43"/>
        <v>1459.2710844590233</v>
      </c>
      <c r="AC128" s="447">
        <v>0</v>
      </c>
      <c r="AD128" s="447">
        <v>0</v>
      </c>
      <c r="AE128" s="447">
        <v>0</v>
      </c>
      <c r="AF128" s="448">
        <f t="shared" si="20"/>
        <v>17309.287222168077</v>
      </c>
      <c r="AG128" s="453">
        <f t="shared" si="40"/>
        <v>517.64422163435586</v>
      </c>
      <c r="AH128" s="454">
        <f t="shared" si="47"/>
        <v>-7.3385790447298724</v>
      </c>
      <c r="AI128" s="104">
        <f t="shared" si="41"/>
        <v>-19.43857904472987</v>
      </c>
      <c r="AJ128" s="455">
        <v>0</v>
      </c>
      <c r="AK128" s="456"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5">
        <v>1</v>
      </c>
      <c r="D129">
        <v>1</v>
      </c>
      <c r="E129">
        <v>1</v>
      </c>
      <c r="F129" s="197">
        <v>0</v>
      </c>
      <c r="G129" s="197">
        <v>0</v>
      </c>
      <c r="H129" s="446">
        <f t="shared" si="17"/>
        <v>3</v>
      </c>
      <c r="I129" s="447">
        <f>M$15+M$15+N$15</f>
        <v>11.2</v>
      </c>
      <c r="J129" s="447">
        <f t="shared" si="36"/>
        <v>449.82857142857137</v>
      </c>
      <c r="K129" s="94">
        <f>SUMPRODUCT($E$16:$E$18,$M$16:$M$18)+SUMPRODUCT($E$30:$E$32,$M$16:$M$18)+SUMPRODUCT($E$24:$E$26,$N$16:$N$18)</f>
        <v>20</v>
      </c>
      <c r="L129" s="448">
        <f t="shared" si="18"/>
        <v>469.82857142857137</v>
      </c>
      <c r="M129" s="457">
        <f>SUMPRODUCT($C$16:$C$18,$M$16:$M$18)+SUMPRODUCT($C$30:$C$32,$M$16:$M$18)+SUMPRODUCT($C$24:$C$26,$N$16:$N$18)</f>
        <v>13</v>
      </c>
      <c r="N129" s="104">
        <f>SUMPRODUCT($D$16:$D$18,$M$16:$M$18)</f>
        <v>30.45</v>
      </c>
      <c r="O129" s="104">
        <f>SUMPRODUCT($D$30:$D$32,$M$16:$M$18)</f>
        <v>14</v>
      </c>
      <c r="P129" s="104">
        <v>0</v>
      </c>
      <c r="Q129" s="450">
        <f t="shared" si="48"/>
        <v>36.003968255793495</v>
      </c>
      <c r="R129" s="1310">
        <f>(M$15+1-$J$15)*$O$2+25</f>
        <v>185.65306122448979</v>
      </c>
      <c r="S129" s="1310">
        <f>(M$15+M$15+1-$J$15)*$O$2+$E$16+D129*$O$3</f>
        <v>327.2081632653061</v>
      </c>
      <c r="T129" s="1310">
        <v>0</v>
      </c>
      <c r="U129" s="451">
        <f t="shared" si="45"/>
        <v>0.84574010796990995</v>
      </c>
      <c r="V129" s="451">
        <f t="shared" si="37"/>
        <v>0.38884602665283213</v>
      </c>
      <c r="W129" s="451">
        <v>0</v>
      </c>
      <c r="X129" s="452">
        <f t="shared" si="38"/>
        <v>1</v>
      </c>
      <c r="Y129" s="447">
        <f t="shared" si="39"/>
        <v>10708.563160612845</v>
      </c>
      <c r="Z129" s="447">
        <f t="shared" si="46"/>
        <v>5407.2825459511769</v>
      </c>
      <c r="AA129" s="447">
        <f>SUMPRODUCT($F$30:$F$32,$M$16:$M$18)*MIN(Q129/O129,1)*X129</f>
        <v>1462.7610770499225</v>
      </c>
      <c r="AB129">
        <f t="shared" si="43"/>
        <v>1459.2710844590233</v>
      </c>
      <c r="AC129" s="447">
        <v>0</v>
      </c>
      <c r="AD129" s="447">
        <v>0</v>
      </c>
      <c r="AE129" s="447">
        <v>0</v>
      </c>
      <c r="AF129" s="448">
        <f t="shared" si="20"/>
        <v>19037.877868072967</v>
      </c>
      <c r="AG129" s="453">
        <f t="shared" si="40"/>
        <v>528.77165463586175</v>
      </c>
      <c r="AH129" s="454">
        <f t="shared" si="47"/>
        <v>-5.553968255793496</v>
      </c>
      <c r="AI129" s="104">
        <f t="shared" si="41"/>
        <v>-22.003968255793495</v>
      </c>
      <c r="AJ129" s="455">
        <v>0</v>
      </c>
      <c r="AK129" s="456"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5">
        <v>1</v>
      </c>
      <c r="D130">
        <v>1</v>
      </c>
      <c r="E130">
        <v>1</v>
      </c>
      <c r="F130" s="197">
        <v>0</v>
      </c>
      <c r="G130" s="197">
        <v>0</v>
      </c>
      <c r="H130" s="446">
        <f t="shared" si="17"/>
        <v>3</v>
      </c>
      <c r="I130" s="447">
        <f>N$15+M$15+N$15</f>
        <v>12.200000000000001</v>
      </c>
      <c r="J130" s="447">
        <f t="shared" si="36"/>
        <v>489.99183673469389</v>
      </c>
      <c r="K130" s="94">
        <f>SUMPRODUCT($E$17:$E$19,$N$16:$N$18)+SUMPRODUCT($E$30:$E$32,$M$16:$M$18)+SUMPRODUCT($E$24:$E$26,$N$16:$N$18)</f>
        <v>15</v>
      </c>
      <c r="L130" s="448">
        <f t="shared" si="18"/>
        <v>504.99183673469389</v>
      </c>
      <c r="M130" s="457">
        <f>SUMPRODUCT($C$17:$C$19,$N$16:$N$18)+SUMPRODUCT($C$30:$C$32,$M$16:$M$18)+SUMPRODUCT($C$24:$C$26,$N$16:$N$18)</f>
        <v>14</v>
      </c>
      <c r="N130" s="104">
        <f>SUMPRODUCT($D$17:$D$19,$N$16:$N$18)</f>
        <v>34.799999999999997</v>
      </c>
      <c r="O130" s="104">
        <f>SUMPRODUCT($D$30:$D$32,$M$16:$M$18)</f>
        <v>14</v>
      </c>
      <c r="P130" s="104">
        <v>0</v>
      </c>
      <c r="Q130" s="450">
        <f t="shared" si="48"/>
        <v>38.569357466857134</v>
      </c>
      <c r="R130" s="1310">
        <f>(N$15+1-$J$15)*$O$2+25</f>
        <v>225.81632653061223</v>
      </c>
      <c r="S130" s="1310">
        <f>(N$15+M$15+1-$J$15)*$O$2+$E$17+D130*$O$3</f>
        <v>362.37142857142857</v>
      </c>
      <c r="T130" s="1310">
        <v>0</v>
      </c>
      <c r="U130" s="451">
        <f t="shared" si="45"/>
        <v>0.9022706699198666</v>
      </c>
      <c r="V130" s="451">
        <f t="shared" si="37"/>
        <v>0.36298245341603835</v>
      </c>
      <c r="W130" s="451">
        <v>0</v>
      </c>
      <c r="X130" s="452">
        <f t="shared" si="38"/>
        <v>1</v>
      </c>
      <c r="Y130" s="447">
        <f t="shared" si="39"/>
        <v>11664.684871381849</v>
      </c>
      <c r="Z130" s="447">
        <f t="shared" si="46"/>
        <v>6179.7514810870571</v>
      </c>
      <c r="AA130" s="447">
        <f>SUMPRODUCT($F$30:$F$32,$M$16:$M$18)*MIN(Q130/O130,1)*X130</f>
        <v>1462.7610770499225</v>
      </c>
      <c r="AB130">
        <f t="shared" si="43"/>
        <v>1459.2710844590233</v>
      </c>
      <c r="AC130" s="447">
        <v>0</v>
      </c>
      <c r="AD130" s="447">
        <v>0</v>
      </c>
      <c r="AE130" s="447">
        <v>0</v>
      </c>
      <c r="AF130" s="448">
        <f t="shared" si="20"/>
        <v>20766.468513977852</v>
      </c>
      <c r="AG130" s="453">
        <f t="shared" si="40"/>
        <v>538.41883499932806</v>
      </c>
      <c r="AH130" s="454">
        <f t="shared" si="47"/>
        <v>-3.7693574668571372</v>
      </c>
      <c r="AI130" s="104">
        <f t="shared" si="41"/>
        <v>-24.569357466857134</v>
      </c>
      <c r="AJ130" s="455">
        <v>0</v>
      </c>
      <c r="AK130" s="456"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5">
        <v>1</v>
      </c>
      <c r="D131">
        <v>1</v>
      </c>
      <c r="E131">
        <v>1</v>
      </c>
      <c r="F131" s="197">
        <v>0</v>
      </c>
      <c r="G131" s="197">
        <v>0</v>
      </c>
      <c r="H131" s="446">
        <f t="shared" si="17"/>
        <v>3</v>
      </c>
      <c r="I131" s="447">
        <f>J$15+N$15+N$15</f>
        <v>9.2000000000000011</v>
      </c>
      <c r="J131" s="447">
        <f t="shared" si="36"/>
        <v>369.50204081632654</v>
      </c>
      <c r="K131" s="94">
        <f>SUMPRODUCT($E$13:$E$15,$J$16:$J$18)+SUMPRODUCT($E$31:$E$33,$N$16:$N$18)+SUMPRODUCT($E$24:$E$26,$N$16:$N$18)</f>
        <v>30</v>
      </c>
      <c r="L131" s="448">
        <f t="shared" si="18"/>
        <v>399.50204081632654</v>
      </c>
      <c r="M131" s="457">
        <f>SUMPRODUCT($C$13:$C$15,$J$16:$J$18)+SUMPRODUCT($C$31:$C$33,$N$16:$N$18)+SUMPRODUCT($C$24:$C$26,$N$16:$N$18)</f>
        <v>11</v>
      </c>
      <c r="N131" s="104">
        <f>SUMPRODUCT($D$13:$D$15,$J$16:$J$18)</f>
        <v>17.399999999999999</v>
      </c>
      <c r="O131" s="104">
        <f>SUMPRODUCT($D$31:$D$33,$N$16:$N$18)</f>
        <v>16</v>
      </c>
      <c r="P131" s="104">
        <v>0</v>
      </c>
      <c r="Q131" s="450">
        <f t="shared" si="48"/>
        <v>31.144659738900433</v>
      </c>
      <c r="R131" s="1310">
        <f>(J$15+1-$J$15)*$O$2+25</f>
        <v>65.16326530612244</v>
      </c>
      <c r="S131" s="1310">
        <f>(J$15+N$15+1-$J$15)*$O$2+$E$13+D131*$O$3</f>
        <v>261.88163265306122</v>
      </c>
      <c r="T131" s="1310">
        <v>0</v>
      </c>
      <c r="U131" s="451">
        <f t="shared" si="45"/>
        <v>0.55868325889163517</v>
      </c>
      <c r="V131" s="451">
        <f t="shared" si="37"/>
        <v>0.51373173231414737</v>
      </c>
      <c r="W131" s="451">
        <v>0</v>
      </c>
      <c r="X131" s="452">
        <f t="shared" si="38"/>
        <v>1</v>
      </c>
      <c r="Y131" s="447">
        <f t="shared" si="39"/>
        <v>8796.3197390748373</v>
      </c>
      <c r="Z131" s="447">
        <f t="shared" si="46"/>
        <v>3089.8757405435285</v>
      </c>
      <c r="AA131" s="447">
        <f>SUMPRODUCT($F$31:$F$33,$N$16:$N$18)*MIN(Q131/O131,1)*X131</f>
        <v>1759.7269451999114</v>
      </c>
      <c r="AB131">
        <f t="shared" si="43"/>
        <v>1459.2710844590233</v>
      </c>
      <c r="AC131" s="447">
        <v>0</v>
      </c>
      <c r="AD131" s="447">
        <v>0</v>
      </c>
      <c r="AE131" s="447">
        <v>0</v>
      </c>
      <c r="AF131" s="448">
        <f t="shared" si="20"/>
        <v>15105.1935092773</v>
      </c>
      <c r="AG131" s="453">
        <f t="shared" si="40"/>
        <v>485.00107677884012</v>
      </c>
      <c r="AH131" s="454">
        <f t="shared" si="47"/>
        <v>-13.744659738900435</v>
      </c>
      <c r="AI131" s="104">
        <f t="shared" si="41"/>
        <v>-15.144659738900433</v>
      </c>
      <c r="AJ131" s="455">
        <v>0</v>
      </c>
      <c r="AK131" s="456"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5">
        <v>1</v>
      </c>
      <c r="D132">
        <v>1</v>
      </c>
      <c r="E132">
        <v>1</v>
      </c>
      <c r="F132" s="197">
        <v>0</v>
      </c>
      <c r="G132" s="197">
        <v>0</v>
      </c>
      <c r="H132" s="446">
        <f t="shared" si="17"/>
        <v>3</v>
      </c>
      <c r="I132" s="447">
        <f>K$15+N$15+N$15</f>
        <v>10.200000000000001</v>
      </c>
      <c r="J132" s="447">
        <f t="shared" si="36"/>
        <v>409.66530612244901</v>
      </c>
      <c r="K132" s="94">
        <f>SUMPRODUCT($E$14:$E$16,$K$16:$K$18)+SUMPRODUCT($E$31:$E$33,$N$16:$N$18)+SUMPRODUCT($E$24:$E$26,$N$16:$N$18)</f>
        <v>25</v>
      </c>
      <c r="L132" s="448">
        <f t="shared" si="18"/>
        <v>434.66530612244901</v>
      </c>
      <c r="M132" s="457">
        <f>SUMPRODUCT($C$14:$C$16,$K$16:$K$18)+SUMPRODUCT($C$31:$C$33,$N$16:$N$18)+SUMPRODUCT($C$24:$C$26,$N$16:$N$18)</f>
        <v>12</v>
      </c>
      <c r="N132" s="104">
        <f>SUMPRODUCT($D$14:$D$16,$K$16:$K$18)</f>
        <v>21.75</v>
      </c>
      <c r="O132" s="104">
        <f>SUMPRODUCT($D$31:$D$33,$N$16:$N$18)</f>
        <v>16</v>
      </c>
      <c r="P132" s="104">
        <v>0</v>
      </c>
      <c r="Q132" s="450">
        <f t="shared" si="48"/>
        <v>33.710048949964062</v>
      </c>
      <c r="R132" s="1310">
        <f>(K$15+1-$J$15)*$O$2+25</f>
        <v>105.32653061224489</v>
      </c>
      <c r="S132" s="1310">
        <f>(K$15+N$15+1-$J$15)*$O$2+$E$14+D132*$O$3</f>
        <v>297.04489795918369</v>
      </c>
      <c r="T132" s="1310">
        <v>0</v>
      </c>
      <c r="U132" s="451">
        <f t="shared" si="45"/>
        <v>0.64520819985410283</v>
      </c>
      <c r="V132" s="451">
        <f t="shared" si="37"/>
        <v>0.47463591713405262</v>
      </c>
      <c r="W132" s="451">
        <v>0</v>
      </c>
      <c r="X132" s="452">
        <f t="shared" si="38"/>
        <v>1</v>
      </c>
      <c r="Y132" s="447">
        <f t="shared" si="39"/>
        <v>9752.4414498438418</v>
      </c>
      <c r="Z132" s="447">
        <f t="shared" si="46"/>
        <v>3862.3446756794115</v>
      </c>
      <c r="AA132" s="447">
        <f>SUMPRODUCT($F$31:$F$33,$N$16:$N$18)*MIN(Q132/O132,1)*X132</f>
        <v>1759.7269451999114</v>
      </c>
      <c r="AB132">
        <f t="shared" si="43"/>
        <v>1459.2710844590233</v>
      </c>
      <c r="AC132" s="447">
        <v>0</v>
      </c>
      <c r="AD132" s="447">
        <v>0</v>
      </c>
      <c r="AE132" s="447">
        <v>0</v>
      </c>
      <c r="AF132" s="448">
        <f t="shared" si="20"/>
        <v>16833.784155182188</v>
      </c>
      <c r="AG132" s="453">
        <f t="shared" si="40"/>
        <v>499.3699113332238</v>
      </c>
      <c r="AH132" s="454">
        <f t="shared" si="47"/>
        <v>-11.960048949964062</v>
      </c>
      <c r="AI132" s="104">
        <f t="shared" si="41"/>
        <v>-17.710048949964062</v>
      </c>
      <c r="AJ132" s="455">
        <v>0</v>
      </c>
      <c r="AK132" s="456"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5">
        <v>1</v>
      </c>
      <c r="D133">
        <v>1</v>
      </c>
      <c r="E133">
        <v>1</v>
      </c>
      <c r="F133" s="197">
        <v>0</v>
      </c>
      <c r="G133" s="197">
        <v>0</v>
      </c>
      <c r="H133" s="446">
        <f t="shared" si="17"/>
        <v>3</v>
      </c>
      <c r="I133" s="447">
        <f>L$15+N$15+N$15</f>
        <v>11.200000000000001</v>
      </c>
      <c r="J133" s="447">
        <f t="shared" si="36"/>
        <v>449.82857142857148</v>
      </c>
      <c r="K133" s="94">
        <f>SUMPRODUCT($E$15:$E$17,$L$16:$L$18)+SUMPRODUCT($E$31:$E$33,$N$16:$N$18)+SUMPRODUCT($E$24:$E$26,$N$16:$N$18)</f>
        <v>20</v>
      </c>
      <c r="L133" s="448">
        <f t="shared" si="18"/>
        <v>469.82857142857148</v>
      </c>
      <c r="M133" s="457">
        <f>SUMPRODUCT($C$15:$C$17,$L$16:$L$18)+SUMPRODUCT($C$31:$C$33,$N$16:$N$18)+SUMPRODUCT($C$24:$C$26,$N$16:$N$18)</f>
        <v>13</v>
      </c>
      <c r="N133" s="104">
        <f>SUMPRODUCT($D$15:$D$17,$L$16:$L$18)</f>
        <v>26.099999999999998</v>
      </c>
      <c r="O133" s="104">
        <f>SUMPRODUCT($D$31:$D$33,$N$16:$N$18)</f>
        <v>16</v>
      </c>
      <c r="P133" s="104">
        <v>0</v>
      </c>
      <c r="Q133" s="450">
        <f t="shared" si="48"/>
        <v>36.275438161027694</v>
      </c>
      <c r="R133" s="1310">
        <f>(L$15+1-$J$15)*$O$2+25</f>
        <v>145.48979591836735</v>
      </c>
      <c r="S133" s="1310">
        <f>(L$15+N$15+1-$J$15)*$O$2+$E$15+D133*$O$3</f>
        <v>332.2081632653061</v>
      </c>
      <c r="T133" s="1310">
        <v>0</v>
      </c>
      <c r="U133" s="451">
        <f t="shared" si="45"/>
        <v>0.71949509980117565</v>
      </c>
      <c r="V133" s="451">
        <f t="shared" si="37"/>
        <v>0.44106979298156368</v>
      </c>
      <c r="W133" s="451">
        <v>0</v>
      </c>
      <c r="X133" s="452">
        <f t="shared" si="38"/>
        <v>1</v>
      </c>
      <c r="Y133" s="447">
        <f t="shared" si="39"/>
        <v>10708.563160612846</v>
      </c>
      <c r="Z133" s="447">
        <f t="shared" si="46"/>
        <v>4634.813610815293</v>
      </c>
      <c r="AA133" s="447">
        <f>SUMPRODUCT($F$31:$F$33,$N$16:$N$18)*MIN(Q133/O133,1)*X133</f>
        <v>1759.7269451999114</v>
      </c>
      <c r="AB133">
        <f t="shared" si="43"/>
        <v>1459.2710844590233</v>
      </c>
      <c r="AC133" s="447">
        <v>0</v>
      </c>
      <c r="AD133" s="447">
        <v>0</v>
      </c>
      <c r="AE133" s="447">
        <v>0</v>
      </c>
      <c r="AF133" s="448">
        <f t="shared" si="20"/>
        <v>18562.374801087073</v>
      </c>
      <c r="AG133" s="453">
        <f t="shared" si="40"/>
        <v>511.70642567260438</v>
      </c>
      <c r="AH133" s="454">
        <f t="shared" si="47"/>
        <v>-10.175438161027696</v>
      </c>
      <c r="AI133" s="104">
        <f t="shared" si="41"/>
        <v>-20.275438161027694</v>
      </c>
      <c r="AJ133" s="455">
        <v>0</v>
      </c>
      <c r="AK133" s="456"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5">
        <v>1</v>
      </c>
      <c r="D134">
        <v>1</v>
      </c>
      <c r="E134">
        <v>1</v>
      </c>
      <c r="F134" s="197">
        <v>0</v>
      </c>
      <c r="G134" s="197">
        <v>0</v>
      </c>
      <c r="H134" s="446">
        <f t="shared" si="17"/>
        <v>3</v>
      </c>
      <c r="I134" s="447">
        <f>M$15+N$15+N$15</f>
        <v>12.200000000000001</v>
      </c>
      <c r="J134" s="447">
        <f t="shared" si="36"/>
        <v>489.99183673469389</v>
      </c>
      <c r="K134" s="94">
        <f>SUMPRODUCT($E$16:$E$18,$M$16:$M$18)+SUMPRODUCT($E$31:$E$33,$N$16:$N$18)+SUMPRODUCT($E$24:$E$26,$N$16:$N$18)</f>
        <v>15</v>
      </c>
      <c r="L134" s="448">
        <f t="shared" si="18"/>
        <v>504.99183673469389</v>
      </c>
      <c r="M134" s="457">
        <f>SUMPRODUCT($C$16:$C$18,$M$16:$M$18)+SUMPRODUCT($C$31:$C$33,$N$16:$N$18)+SUMPRODUCT($C$24:$C$26,$N$16:$N$18)</f>
        <v>14</v>
      </c>
      <c r="N134" s="104">
        <f>SUMPRODUCT($D$16:$D$18,$M$16:$M$18)</f>
        <v>30.45</v>
      </c>
      <c r="O134" s="104">
        <f>SUMPRODUCT($D$31:$D$33,$N$16:$N$18)</f>
        <v>16</v>
      </c>
      <c r="P134" s="104">
        <v>0</v>
      </c>
      <c r="Q134" s="450">
        <f t="shared" si="48"/>
        <v>38.840827372091319</v>
      </c>
      <c r="R134" s="1310">
        <f>(M$15+1-$J$15)*$O$2+25</f>
        <v>185.65306122448979</v>
      </c>
      <c r="S134" s="1310">
        <f>(M$15+N$15+1-$J$15)*$O$2+$E$16+D134*$O$3</f>
        <v>367.37142857142857</v>
      </c>
      <c r="T134" s="1310">
        <v>0</v>
      </c>
      <c r="U134" s="451">
        <f t="shared" si="45"/>
        <v>0.78396888172056645</v>
      </c>
      <c r="V134" s="451">
        <f t="shared" si="37"/>
        <v>0.41193767184003494</v>
      </c>
      <c r="W134" s="451">
        <v>0</v>
      </c>
      <c r="X134" s="452">
        <f t="shared" si="38"/>
        <v>1</v>
      </c>
      <c r="Y134" s="447">
        <f t="shared" si="39"/>
        <v>11664.684871381849</v>
      </c>
      <c r="Z134" s="447">
        <f t="shared" si="46"/>
        <v>5407.2825459511769</v>
      </c>
      <c r="AA134" s="447">
        <f>SUMPRODUCT($F$31:$F$33,$N$16:$N$18)*MIN(Q134/O134,1)*X134</f>
        <v>1759.7269451999114</v>
      </c>
      <c r="AB134">
        <f t="shared" si="43"/>
        <v>1459.2710844590233</v>
      </c>
      <c r="AC134" s="447">
        <v>0</v>
      </c>
      <c r="AD134" s="447">
        <v>0</v>
      </c>
      <c r="AE134" s="447">
        <v>0</v>
      </c>
      <c r="AF134" s="448">
        <f t="shared" si="20"/>
        <v>20290.965446991962</v>
      </c>
      <c r="AG134" s="453">
        <f t="shared" si="40"/>
        <v>522.41331660127889</v>
      </c>
      <c r="AH134" s="454">
        <f t="shared" si="47"/>
        <v>-8.3908273720913193</v>
      </c>
      <c r="AI134" s="104">
        <f t="shared" si="41"/>
        <v>-22.840827372091319</v>
      </c>
      <c r="AJ134" s="455">
        <v>0</v>
      </c>
      <c r="AK134" s="456"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5">
        <v>1</v>
      </c>
      <c r="D135">
        <v>1</v>
      </c>
      <c r="E135">
        <v>1</v>
      </c>
      <c r="F135" s="197">
        <v>0</v>
      </c>
      <c r="G135" s="197">
        <v>0</v>
      </c>
      <c r="H135" s="446">
        <f t="shared" si="17"/>
        <v>3</v>
      </c>
      <c r="I135" s="447">
        <f>N$15+N$15+N$15</f>
        <v>13.200000000000001</v>
      </c>
      <c r="J135" s="447">
        <f t="shared" si="36"/>
        <v>530.15510204081636</v>
      </c>
      <c r="K135" s="94">
        <f>SUMPRODUCT($E$17:$E$19,$N$16:$N$18)+SUMPRODUCT($E$31:$E$33,$N$16:$N$18)+SUMPRODUCT($E$24:$E$26,$N$16:$N$18)</f>
        <v>10</v>
      </c>
      <c r="L135" s="448">
        <f t="shared" si="18"/>
        <v>540.15510204081636</v>
      </c>
      <c r="M135" s="457">
        <f>SUMPRODUCT($C$17:$C$19,$N$16:$N$18)+SUMPRODUCT($C$31:$C$33,$N$16:$N$18)+SUMPRODUCT($C$24:$C$26,$N$16:$N$18)</f>
        <v>15</v>
      </c>
      <c r="N135" s="104">
        <f>SUMPRODUCT($D$17:$D$19,$N$16:$N$18)</f>
        <v>34.799999999999997</v>
      </c>
      <c r="O135" s="104">
        <f>SUMPRODUCT($D$31:$D$33,$N$16:$N$18)</f>
        <v>16</v>
      </c>
      <c r="P135" s="104">
        <v>0</v>
      </c>
      <c r="Q135" s="450">
        <f t="shared" si="48"/>
        <v>41.406216583154944</v>
      </c>
      <c r="R135" s="1310">
        <f>(N$15+1-$J$15)*$O$2+25</f>
        <v>225.81632653061223</v>
      </c>
      <c r="S135" s="1310">
        <f>(N$15+N$15+1-$J$15)*$O$2+$E$17+D135*$O$3</f>
        <v>402.53469387755104</v>
      </c>
      <c r="T135" s="1310">
        <v>0</v>
      </c>
      <c r="U135" s="451">
        <f t="shared" si="45"/>
        <v>0.84045350847528255</v>
      </c>
      <c r="V135" s="451">
        <f t="shared" si="37"/>
        <v>0.38641540619553222</v>
      </c>
      <c r="W135" s="451">
        <v>0</v>
      </c>
      <c r="X135" s="452">
        <f t="shared" si="38"/>
        <v>1</v>
      </c>
      <c r="Y135" s="447">
        <f t="shared" si="39"/>
        <v>12620.806582150854</v>
      </c>
      <c r="Z135" s="447">
        <f t="shared" si="46"/>
        <v>6179.7514810870571</v>
      </c>
      <c r="AA135" s="447">
        <f>SUMPRODUCT($F$31:$F$33,$N$16:$N$18)*MIN(Q135/O135,1)*X135</f>
        <v>1759.7269451999114</v>
      </c>
      <c r="AB135">
        <f t="shared" si="43"/>
        <v>1459.2710844590233</v>
      </c>
      <c r="AC135" s="447">
        <v>0</v>
      </c>
      <c r="AD135" s="447">
        <v>0</v>
      </c>
      <c r="AE135" s="447">
        <v>0</v>
      </c>
      <c r="AF135" s="448">
        <f t="shared" si="20"/>
        <v>22019.556092896844</v>
      </c>
      <c r="AG135" s="453">
        <f t="shared" si="40"/>
        <v>531.79348199262756</v>
      </c>
      <c r="AH135" s="454">
        <f t="shared" si="47"/>
        <v>-6.6062165831549464</v>
      </c>
      <c r="AI135" s="104">
        <f t="shared" si="41"/>
        <v>-25.406216583154944</v>
      </c>
      <c r="AJ135" s="455">
        <v>0</v>
      </c>
      <c r="AK135" s="456"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5">
        <v>1</v>
      </c>
      <c r="D136" s="64">
        <v>1</v>
      </c>
      <c r="E136" s="64">
        <v>0</v>
      </c>
      <c r="F136" s="197">
        <v>0</v>
      </c>
      <c r="G136" s="197">
        <v>1</v>
      </c>
      <c r="H136" s="446">
        <f t="shared" si="17"/>
        <v>3</v>
      </c>
      <c r="I136" s="447">
        <f>$N$15+$J$15+$L$15</f>
        <v>7.2000000000000011</v>
      </c>
      <c r="J136" s="447">
        <f t="shared" si="36"/>
        <v>289.17551020408166</v>
      </c>
      <c r="K136" s="447">
        <f>SUMPRODUCT($E$45:$E$47,$N$16:$N$18)+SUMPRODUCT($E$13:$E$15,$J$16:$J$18)+SUMPRODUCT($E$29:$E$31,$L$16:$L$18)</f>
        <v>30</v>
      </c>
      <c r="L136" s="448">
        <f t="shared" si="18"/>
        <v>319.17551020408166</v>
      </c>
      <c r="M136" s="449">
        <f>SUMPRODUCT($C$45:$C$47,$N$16:$N$18)+SUMPRODUCT($C$13:$C$15,$J$16:$J$18)+SUMPRODUCT($C$29:$C$31,$L$16:$L$18)</f>
        <v>9</v>
      </c>
      <c r="N136" s="104">
        <f>SUMPRODUCT($D$13:$D$15,$J$16:$J$18)</f>
        <v>17.399999999999999</v>
      </c>
      <c r="O136" s="104">
        <f>SUMPRODUCT($D$29:$D$31,$L$16:$L$18)</f>
        <v>12</v>
      </c>
      <c r="P136" s="104">
        <f>SUMPRODUCT($D$45:$D$47,$N$16:$N$18)</f>
        <v>30</v>
      </c>
      <c r="Q136" s="450">
        <f t="shared" si="48"/>
        <v>24.664173678686744</v>
      </c>
      <c r="R136" s="1310">
        <f>(J$15+N$15+1-$J$15)*$O$2+$E$45+25</f>
        <v>241.88163265306122</v>
      </c>
      <c r="S136" s="1310">
        <f>(L$15+J$15+N$15+1-$J$15)*$O$2+$E$45+$E$13+$O$3</f>
        <v>358.27346938775503</v>
      </c>
      <c r="T136" s="1310">
        <f>(N$15+1-$J$15)*$O$2+$O$3</f>
        <v>225.81632653061223</v>
      </c>
      <c r="U136" s="451">
        <f t="shared" si="45"/>
        <v>0.70547670587626476</v>
      </c>
      <c r="V136" s="451">
        <f t="shared" si="37"/>
        <v>0.48653565922501019</v>
      </c>
      <c r="W136" s="451">
        <f>IF(P136&gt;0,MIN(1,P136/Q136),0)</f>
        <v>1</v>
      </c>
      <c r="X136" s="452">
        <f t="shared" si="38"/>
        <v>1</v>
      </c>
      <c r="Y136" s="447">
        <f t="shared" si="39"/>
        <v>6884.0763175368302</v>
      </c>
      <c r="Z136" s="447">
        <f t="shared" si="46"/>
        <v>3089.8757405435285</v>
      </c>
      <c r="AA136" s="447">
        <f>SUMPRODUCT($F$29:$F$31,$L$16:$L$18)*MIN(Q136/O136,1)*X136</f>
        <v>1187.7952088999336</v>
      </c>
      <c r="AB136" s="447">
        <v>0</v>
      </c>
      <c r="AC136" s="447">
        <v>0</v>
      </c>
      <c r="AD136" s="447">
        <f t="shared" ref="AD136:AD150" si="49">IF(AND(forceea,physicaldps=0),4000,(physicaldps*armorpostEA-physicaldps*armorpreEA))*Q136*W136</f>
        <v>0</v>
      </c>
      <c r="AE136" s="447">
        <v>0</v>
      </c>
      <c r="AF136" s="448">
        <f t="shared" si="20"/>
        <v>11161.747266980292</v>
      </c>
      <c r="AG136" s="453">
        <f t="shared" si="40"/>
        <v>452.54900538693437</v>
      </c>
      <c r="AH136" s="454">
        <f t="shared" si="47"/>
        <v>-7.2641736786867455</v>
      </c>
      <c r="AI136" s="104">
        <f t="shared" si="41"/>
        <v>-12.664173678686744</v>
      </c>
      <c r="AJ136" s="455">
        <f>P136-$Q136</f>
        <v>5.335826321313256</v>
      </c>
      <c r="AK136" s="456"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5">
        <v>1</v>
      </c>
      <c r="D137" s="64">
        <v>1</v>
      </c>
      <c r="E137" s="64">
        <v>0</v>
      </c>
      <c r="F137" s="197">
        <v>0</v>
      </c>
      <c r="G137" s="197">
        <v>1</v>
      </c>
      <c r="H137" s="446">
        <f t="shared" si="17"/>
        <v>3</v>
      </c>
      <c r="I137" s="447">
        <f>$N$15+$K$15+$L$15</f>
        <v>8.2000000000000011</v>
      </c>
      <c r="J137" s="447">
        <f t="shared" si="36"/>
        <v>329.33877551020413</v>
      </c>
      <c r="K137" s="447">
        <f>SUMPRODUCT($E$45:$E$47,$N$16:$N$18)+SUMPRODUCT($E$14:$E$16,$K$16:$K$18)+SUMPRODUCT($E$29:$E$31,$L$16:$L$18)</f>
        <v>25</v>
      </c>
      <c r="L137" s="448">
        <f t="shared" si="18"/>
        <v>354.33877551020413</v>
      </c>
      <c r="M137" s="449">
        <f>SUMPRODUCT($C$45:$C$47,$N$16:$N$18)+SUMPRODUCT($C$14:$C$16,$K$16:$K$18)+SUMPRODUCT($C$29:$C$31,$L$16:$L$18)</f>
        <v>10</v>
      </c>
      <c r="N137" s="104">
        <f>SUMPRODUCT($D$14:$D$16,$K$16:$K$18)</f>
        <v>21.75</v>
      </c>
      <c r="O137" s="104">
        <f>SUMPRODUCT($D$29:$D$31,$L$16:$L$18)</f>
        <v>12</v>
      </c>
      <c r="P137" s="104">
        <f t="shared" ref="P137:P150" si="50">SUMPRODUCT($D$45:$D$47,$N$16:$N$18)</f>
        <v>30</v>
      </c>
      <c r="Q137" s="450">
        <f t="shared" si="48"/>
        <v>27.229562889750373</v>
      </c>
      <c r="R137" s="1310">
        <f>(K$15+N$15+1-$J$15)*$O$2+$E$45+25</f>
        <v>282.04489795918369</v>
      </c>
      <c r="S137" s="1310">
        <f>(L$15+K$15+N$15+1-$J$15)*$O$2+$E$45+$E$14+$O$3</f>
        <v>393.4367346938775</v>
      </c>
      <c r="T137" s="1310">
        <f t="shared" ref="T137:T150" si="51">(N$15+1-$J$15)*$O$2+$O$3</f>
        <v>225.81632653061223</v>
      </c>
      <c r="U137" s="451">
        <f t="shared" si="45"/>
        <v>0.79876419933964626</v>
      </c>
      <c r="V137" s="451">
        <f t="shared" si="37"/>
        <v>0.44069748929083929</v>
      </c>
      <c r="W137" s="451">
        <f t="shared" ref="W137:W150" si="52">IF(P137&gt;0,MIN(1,P137/Q137),0)</f>
        <v>1</v>
      </c>
      <c r="X137" s="452">
        <f t="shared" si="38"/>
        <v>1</v>
      </c>
      <c r="Y137" s="447">
        <f t="shared" si="39"/>
        <v>7840.1980283058338</v>
      </c>
      <c r="Z137" s="447">
        <f t="shared" si="46"/>
        <v>3862.3446756794115</v>
      </c>
      <c r="AA137" s="447">
        <f>SUMPRODUCT($F$29:$F$31,$L$16:$L$18)*MIN(Q137/O137,1)*X137</f>
        <v>1187.7952088999336</v>
      </c>
      <c r="AB137" s="447">
        <v>0</v>
      </c>
      <c r="AC137" s="447">
        <v>0</v>
      </c>
      <c r="AD137" s="447">
        <f t="shared" si="49"/>
        <v>0</v>
      </c>
      <c r="AE137" s="447">
        <v>0</v>
      </c>
      <c r="AF137" s="448">
        <f t="shared" si="20"/>
        <v>12890.337912885179</v>
      </c>
      <c r="AG137" s="453">
        <f t="shared" si="40"/>
        <v>473.394962859918</v>
      </c>
      <c r="AH137" s="454">
        <f t="shared" si="47"/>
        <v>-5.4795628897503725</v>
      </c>
      <c r="AI137" s="104">
        <f t="shared" si="41"/>
        <v>-15.229562889750373</v>
      </c>
      <c r="AJ137" s="455">
        <f t="shared" ref="AJ137:AJ150" si="53">P137-$Q137</f>
        <v>2.7704371102496275</v>
      </c>
      <c r="AK137" s="456"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5">
        <v>1</v>
      </c>
      <c r="D138" s="64">
        <v>1</v>
      </c>
      <c r="E138" s="64">
        <v>0</v>
      </c>
      <c r="F138" s="197">
        <v>0</v>
      </c>
      <c r="G138" s="197">
        <v>1</v>
      </c>
      <c r="H138" s="446">
        <f t="shared" si="17"/>
        <v>3</v>
      </c>
      <c r="I138" s="447">
        <f>$N$15+$L$15+$L$15</f>
        <v>9.2000000000000011</v>
      </c>
      <c r="J138" s="447">
        <f t="shared" si="36"/>
        <v>369.50204081632654</v>
      </c>
      <c r="K138" s="447">
        <f>SUMPRODUCT($E$45:$E$47,$N$16:$N$18)+SUMPRODUCT($E$15:$E$17,$L$16:$L$18)+SUMPRODUCT($E$29:$E$31,$L$16:$L$18)</f>
        <v>20</v>
      </c>
      <c r="L138" s="448">
        <f t="shared" si="18"/>
        <v>389.50204081632654</v>
      </c>
      <c r="M138" s="449">
        <f>SUMPRODUCT($C$45:$C$47,$N$16:$N$18)+SUMPRODUCT($C$15:$C$17,$L$16:$L$18)+SUMPRODUCT($C$29:$C$31,$L$16:$L$18)</f>
        <v>11</v>
      </c>
      <c r="N138" s="104">
        <f>SUMPRODUCT($D$15:$D$17,$L$16:$L$18)</f>
        <v>26.099999999999998</v>
      </c>
      <c r="O138" s="104">
        <f>SUMPRODUCT($D$29:$D$31,$L$16:$L$18)</f>
        <v>12</v>
      </c>
      <c r="P138" s="104">
        <f t="shared" si="50"/>
        <v>30</v>
      </c>
      <c r="Q138" s="450">
        <f t="shared" si="48"/>
        <v>29.794952100813997</v>
      </c>
      <c r="R138" s="1310">
        <f>(L$15+N$15+1-$J$15)*$O$2+$E$45+25</f>
        <v>322.2081632653061</v>
      </c>
      <c r="S138" s="1310">
        <f>(L$15+L$15+N$15+1-$J$15)*$O$2+$E$45+$E$15+$O$3</f>
        <v>428.59999999999997</v>
      </c>
      <c r="T138" s="1310">
        <f t="shared" si="51"/>
        <v>225.81632653061223</v>
      </c>
      <c r="U138" s="451">
        <f t="shared" si="45"/>
        <v>0.87598731193418988</v>
      </c>
      <c r="V138" s="451">
        <f t="shared" si="37"/>
        <v>0.40275278709617929</v>
      </c>
      <c r="W138" s="451">
        <f t="shared" si="52"/>
        <v>1</v>
      </c>
      <c r="X138" s="452">
        <f t="shared" si="38"/>
        <v>1</v>
      </c>
      <c r="Y138" s="447">
        <f t="shared" si="39"/>
        <v>8796.3197390748373</v>
      </c>
      <c r="Z138" s="447">
        <f t="shared" si="46"/>
        <v>4634.813610815293</v>
      </c>
      <c r="AA138" s="447">
        <f>SUMPRODUCT($F$29:$F$31,$L$16:$L$18)*MIN(Q138/O138,1)*X138</f>
        <v>1187.7952088999336</v>
      </c>
      <c r="AB138" s="447">
        <v>0</v>
      </c>
      <c r="AC138" s="447">
        <v>0</v>
      </c>
      <c r="AD138" s="447">
        <f t="shared" si="49"/>
        <v>0</v>
      </c>
      <c r="AE138" s="447">
        <v>0</v>
      </c>
      <c r="AF138" s="448">
        <f t="shared" si="20"/>
        <v>14618.928558790063</v>
      </c>
      <c r="AG138" s="453">
        <f t="shared" si="40"/>
        <v>490.65118511771914</v>
      </c>
      <c r="AH138" s="454">
        <f t="shared" si="47"/>
        <v>-3.6949521008139996</v>
      </c>
      <c r="AI138" s="104">
        <f t="shared" si="41"/>
        <v>-17.794952100813997</v>
      </c>
      <c r="AJ138" s="455">
        <f t="shared" si="53"/>
        <v>0.20504789918600252</v>
      </c>
      <c r="AK138" s="456"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5">
        <v>1</v>
      </c>
      <c r="D139" s="64">
        <v>1</v>
      </c>
      <c r="E139" s="64">
        <v>0</v>
      </c>
      <c r="F139" s="197">
        <v>0</v>
      </c>
      <c r="G139" s="197">
        <v>1</v>
      </c>
      <c r="H139" s="446">
        <f t="shared" si="17"/>
        <v>3</v>
      </c>
      <c r="I139" s="447">
        <f>$N$15+$M$15+$L$15</f>
        <v>10.200000000000001</v>
      </c>
      <c r="J139" s="447">
        <f t="shared" si="36"/>
        <v>409.66530612244901</v>
      </c>
      <c r="K139" s="447">
        <f>SUMPRODUCT($E$45:$E$47,$N$16:$N$18)+SUMPRODUCT($E$16:$E$18,$M$16:$M$18)+SUMPRODUCT($E$29:$E$31,$L$16:$L$18)</f>
        <v>15</v>
      </c>
      <c r="L139" s="448">
        <f t="shared" si="18"/>
        <v>424.66530612244901</v>
      </c>
      <c r="M139" s="449">
        <f>SUMPRODUCT($C$45:$C$47,$N$16:$N$18)+SUMPRODUCT($C$16:$C$18,$M$16:$M$18)+SUMPRODUCT($C$29:$C$31,$L$16:$L$18)</f>
        <v>12</v>
      </c>
      <c r="N139" s="104">
        <f>SUMPRODUCT($D$16:$D$18,$M$16:$M$18)</f>
        <v>30.45</v>
      </c>
      <c r="O139" s="104">
        <f>SUMPRODUCT($D$29:$D$31,$L$16:$L$18)</f>
        <v>12</v>
      </c>
      <c r="P139" s="104">
        <f t="shared" si="50"/>
        <v>30</v>
      </c>
      <c r="Q139" s="450">
        <f t="shared" si="48"/>
        <v>32.360341311877626</v>
      </c>
      <c r="R139" s="1310">
        <f>(M$15+N$15+1-$J$15)*$O$2+$E$45+25</f>
        <v>362.37142857142857</v>
      </c>
      <c r="S139" s="1310">
        <f>(L$15+M$15+N$15+1-$J$15)*$O$2+$E$45+$E$16+$O$3</f>
        <v>463.76326530612238</v>
      </c>
      <c r="T139" s="1310">
        <f t="shared" si="51"/>
        <v>225.81632653061223</v>
      </c>
      <c r="U139" s="451">
        <f t="shared" si="45"/>
        <v>0.94096658952183398</v>
      </c>
      <c r="V139" s="451">
        <f t="shared" si="37"/>
        <v>0.37082427173274246</v>
      </c>
      <c r="W139" s="451">
        <f t="shared" si="52"/>
        <v>0.9270606793318561</v>
      </c>
      <c r="X139" s="452">
        <f t="shared" si="38"/>
        <v>1</v>
      </c>
      <c r="Y139" s="447">
        <f t="shared" si="39"/>
        <v>9752.4414498438418</v>
      </c>
      <c r="Z139" s="447">
        <f t="shared" si="46"/>
        <v>5407.2825459511769</v>
      </c>
      <c r="AA139" s="447">
        <f>SUMPRODUCT($F$29:$F$31,$L$16:$L$18)*MIN(Q139/O139,1)*X139</f>
        <v>1187.7952088999336</v>
      </c>
      <c r="AB139" s="447">
        <v>0</v>
      </c>
      <c r="AC139" s="447">
        <v>0</v>
      </c>
      <c r="AD139" s="447">
        <f t="shared" si="49"/>
        <v>0</v>
      </c>
      <c r="AE139" s="447">
        <v>0</v>
      </c>
      <c r="AF139" s="448">
        <f>SUM(Y139:AE139)</f>
        <v>16347.519204694952</v>
      </c>
      <c r="AG139" s="453">
        <f t="shared" si="40"/>
        <v>505.17140864316889</v>
      </c>
      <c r="AH139" s="454">
        <f t="shared" si="47"/>
        <v>-1.9103413118776267</v>
      </c>
      <c r="AI139" s="104">
        <f t="shared" si="41"/>
        <v>-20.360341311877626</v>
      </c>
      <c r="AJ139" s="455">
        <f t="shared" si="53"/>
        <v>-2.360341311877626</v>
      </c>
      <c r="AK139" s="456"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5">
        <v>1</v>
      </c>
      <c r="D140" s="64">
        <v>1</v>
      </c>
      <c r="E140" s="64">
        <v>0</v>
      </c>
      <c r="F140" s="197">
        <v>0</v>
      </c>
      <c r="G140" s="197">
        <v>1</v>
      </c>
      <c r="H140" s="446">
        <f t="shared" si="17"/>
        <v>3</v>
      </c>
      <c r="I140" s="447">
        <f>$N$15+$N$15+$L$15</f>
        <v>11.200000000000001</v>
      </c>
      <c r="J140" s="447">
        <f t="shared" si="36"/>
        <v>449.82857142857148</v>
      </c>
      <c r="K140" s="447">
        <f>SUMPRODUCT($E$45:$E$47,$N$16:$N$18)+SUMPRODUCT($E$17:$E$19,$N$16:$N$18)+SUMPRODUCT($E$29:$E$31,$L$16:$L$18)</f>
        <v>10</v>
      </c>
      <c r="L140" s="448">
        <f t="shared" si="18"/>
        <v>459.82857142857148</v>
      </c>
      <c r="M140" s="449">
        <f>SUMPRODUCT($C$45:$C$47,$N$16:$N$18)+SUMPRODUCT($C$17:$C$19,$N$16:$N$18)+SUMPRODUCT($C$29:$C$31,$L$16:$L$18)</f>
        <v>13</v>
      </c>
      <c r="N140" s="104">
        <f>SUMPRODUCT($D$17:$D$19,$N$16:$N$18)</f>
        <v>34.799999999999997</v>
      </c>
      <c r="O140" s="104">
        <f>SUMPRODUCT($D$29:$D$31,$L$16:$L$18)</f>
        <v>12</v>
      </c>
      <c r="P140" s="104">
        <f t="shared" si="50"/>
        <v>30</v>
      </c>
      <c r="Q140" s="450">
        <f t="shared" si="48"/>
        <v>34.925730522941258</v>
      </c>
      <c r="R140" s="1310">
        <f>(N$15+N$15+1-$J$15)*$O$2+$E$45+25</f>
        <v>402.53469387755104</v>
      </c>
      <c r="S140" s="1310">
        <f>(L$15+N$15+N$15+1-$J$15)*$O$2+$E$45+$E$17+$O$3</f>
        <v>498.9265306122449</v>
      </c>
      <c r="T140" s="1310">
        <f t="shared" si="51"/>
        <v>225.81632653061223</v>
      </c>
      <c r="U140" s="451">
        <f t="shared" si="45"/>
        <v>0.99640006032633521</v>
      </c>
      <c r="V140" s="451">
        <f t="shared" si="37"/>
        <v>0.34358622769873631</v>
      </c>
      <c r="W140" s="451">
        <f t="shared" si="52"/>
        <v>0.85896556924684075</v>
      </c>
      <c r="X140" s="452">
        <f t="shared" si="38"/>
        <v>1</v>
      </c>
      <c r="Y140" s="447">
        <f t="shared" si="39"/>
        <v>10708.563160612846</v>
      </c>
      <c r="Z140" s="447">
        <f t="shared" si="46"/>
        <v>6179.7514810870571</v>
      </c>
      <c r="AA140" s="447">
        <f>SUMPRODUCT($F$29:$F$31,$L$16:$L$18)*MIN(Q140/O140,1)*X140</f>
        <v>1187.7952088999336</v>
      </c>
      <c r="AB140" s="447">
        <v>0</v>
      </c>
      <c r="AC140" s="447">
        <v>0</v>
      </c>
      <c r="AD140" s="447">
        <f t="shared" si="49"/>
        <v>0</v>
      </c>
      <c r="AE140" s="447">
        <v>0</v>
      </c>
      <c r="AF140" s="448">
        <f t="shared" si="20"/>
        <v>18076.109850599838</v>
      </c>
      <c r="AG140" s="453">
        <f t="shared" si="40"/>
        <v>517.55853291963058</v>
      </c>
      <c r="AH140" s="454">
        <f t="shared" si="47"/>
        <v>-0.12573052294126086</v>
      </c>
      <c r="AI140" s="104">
        <f t="shared" si="41"/>
        <v>-22.925730522941258</v>
      </c>
      <c r="AJ140" s="455">
        <f t="shared" si="53"/>
        <v>-4.925730522941258</v>
      </c>
      <c r="AK140" s="456"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5">
        <v>1</v>
      </c>
      <c r="D141" s="64">
        <v>1</v>
      </c>
      <c r="E141" s="64">
        <v>0</v>
      </c>
      <c r="F141" s="197">
        <v>0</v>
      </c>
      <c r="G141" s="197">
        <v>1</v>
      </c>
      <c r="H141" s="446">
        <f t="shared" si="17"/>
        <v>3</v>
      </c>
      <c r="I141" s="447">
        <f>$N$15+$J$15+$M$15</f>
        <v>8.2000000000000011</v>
      </c>
      <c r="J141" s="447">
        <f t="shared" si="36"/>
        <v>329.33877551020413</v>
      </c>
      <c r="K141" s="447">
        <f>SUMPRODUCT($E$45:$E$47,$N$16:$N$18)+SUMPRODUCT($E$13:$E$15,$J$16:$J$18)+SUMPRODUCT($E$30:$E$32,$M$16:$M$18)</f>
        <v>25</v>
      </c>
      <c r="L141" s="448">
        <f t="shared" si="18"/>
        <v>354.33877551020413</v>
      </c>
      <c r="M141" s="449">
        <f>SUMPRODUCT($C$45:$C$47,$N$16:$N$18)+SUMPRODUCT($C$13:$C$15,$J$16:$J$18)+SUMPRODUCT($C$30:$C$32,$M$16:$M$18)</f>
        <v>10</v>
      </c>
      <c r="N141" s="104">
        <f>SUMPRODUCT($D$13:$D$15,$J$16:$J$18)</f>
        <v>17.399999999999999</v>
      </c>
      <c r="O141" s="104">
        <f>SUMPRODUCT($D$30:$D$32,$M$16:$M$18)</f>
        <v>14</v>
      </c>
      <c r="P141" s="104">
        <f t="shared" si="50"/>
        <v>30</v>
      </c>
      <c r="Q141" s="450">
        <f t="shared" si="48"/>
        <v>27.501032794984557</v>
      </c>
      <c r="R141" s="1310">
        <f>(J$15+N$15+1-$J$15)*$O$2+$E$45+25</f>
        <v>241.88163265306122</v>
      </c>
      <c r="S141" s="1310">
        <f>(M$15+J$15+N$15+1-$J$15)*$O$2+$E$45+$E$13+$O$3</f>
        <v>398.4367346938775</v>
      </c>
      <c r="T141" s="1310">
        <f t="shared" si="51"/>
        <v>225.81632653061223</v>
      </c>
      <c r="U141" s="451">
        <f t="shared" si="45"/>
        <v>0.63270351079953935</v>
      </c>
      <c r="V141" s="451">
        <f t="shared" si="37"/>
        <v>0.50907179029848004</v>
      </c>
      <c r="W141" s="451">
        <f t="shared" si="52"/>
        <v>1</v>
      </c>
      <c r="X141" s="452">
        <f t="shared" si="38"/>
        <v>1</v>
      </c>
      <c r="Y141" s="447">
        <f t="shared" si="39"/>
        <v>7840.1980283058338</v>
      </c>
      <c r="Z141" s="447">
        <f t="shared" si="46"/>
        <v>3089.8757405435285</v>
      </c>
      <c r="AA141" s="447">
        <f>SUMPRODUCT($F$30:$F$32,$M$16:$M$18)*MIN(Q141/O141,1)*X141</f>
        <v>1462.7610770499225</v>
      </c>
      <c r="AB141" s="447">
        <v>0</v>
      </c>
      <c r="AC141" s="447">
        <v>0</v>
      </c>
      <c r="AD141" s="447">
        <f t="shared" si="49"/>
        <v>0</v>
      </c>
      <c r="AE141" s="447">
        <v>0</v>
      </c>
      <c r="AF141" s="448">
        <f t="shared" si="20"/>
        <v>12392.834845899286</v>
      </c>
      <c r="AG141" s="453">
        <f t="shared" si="40"/>
        <v>450.63161584823837</v>
      </c>
      <c r="AH141" s="454">
        <f t="shared" si="47"/>
        <v>-10.101032794984558</v>
      </c>
      <c r="AI141" s="104">
        <f t="shared" si="41"/>
        <v>-13.501032794984557</v>
      </c>
      <c r="AJ141" s="455">
        <f t="shared" si="53"/>
        <v>2.4989672050154432</v>
      </c>
      <c r="AK141" s="456"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5">
        <v>1</v>
      </c>
      <c r="D142" s="64">
        <v>1</v>
      </c>
      <c r="E142" s="64">
        <v>0</v>
      </c>
      <c r="F142" s="197">
        <v>0</v>
      </c>
      <c r="G142" s="197">
        <v>1</v>
      </c>
      <c r="H142" s="446">
        <f t="shared" si="17"/>
        <v>3</v>
      </c>
      <c r="I142" s="447">
        <f>$N$15+$K$15+$M$15</f>
        <v>9.2000000000000011</v>
      </c>
      <c r="J142" s="447">
        <f t="shared" si="36"/>
        <v>369.50204081632654</v>
      </c>
      <c r="K142" s="447">
        <f>SUMPRODUCT($E$45:$E$47,$N$16:$N$18)+SUMPRODUCT($E$14:$E$16,$K$16:$K$18)+SUMPRODUCT($E$30:$E$32,$M$16:$M$18)</f>
        <v>20</v>
      </c>
      <c r="L142" s="448">
        <f t="shared" si="18"/>
        <v>389.50204081632654</v>
      </c>
      <c r="M142" s="449">
        <f>SUMPRODUCT($C$45:$C$47,$N$16:$N$18)+SUMPRODUCT($C$14:$C$16,$K$16:$K$18)+SUMPRODUCT($C$30:$C$32,$M$16:$M$18)</f>
        <v>11</v>
      </c>
      <c r="N142" s="104">
        <f>SUMPRODUCT($D$14:$D$16,$K$16:$K$18)</f>
        <v>21.75</v>
      </c>
      <c r="O142" s="104">
        <f>SUMPRODUCT($D$30:$D$32,$M$16:$M$18)</f>
        <v>14</v>
      </c>
      <c r="P142" s="104">
        <f t="shared" si="50"/>
        <v>30</v>
      </c>
      <c r="Q142" s="450">
        <f t="shared" si="48"/>
        <v>30.066422006048185</v>
      </c>
      <c r="R142" s="1310">
        <f>(K$15+N$15+1-$J$15)*$O$2+$E$45+25</f>
        <v>282.04489795918369</v>
      </c>
      <c r="S142" s="1310">
        <f>(M$15+K$15+N$15+1-$J$15)*$O$2+$E$45+$E$14+$O$3</f>
        <v>433.59999999999997</v>
      </c>
      <c r="T142" s="1310">
        <f t="shared" si="51"/>
        <v>225.81632653061223</v>
      </c>
      <c r="U142" s="451">
        <f t="shared" si="45"/>
        <v>0.72339834768582545</v>
      </c>
      <c r="V142" s="451">
        <f t="shared" si="37"/>
        <v>0.4656357180506463</v>
      </c>
      <c r="W142" s="451">
        <f t="shared" si="52"/>
        <v>0.99779082439424205</v>
      </c>
      <c r="X142" s="452">
        <f t="shared" si="38"/>
        <v>1</v>
      </c>
      <c r="Y142" s="447">
        <f t="shared" si="39"/>
        <v>8796.3197390748373</v>
      </c>
      <c r="Z142" s="447">
        <f t="shared" si="46"/>
        <v>3862.3446756794115</v>
      </c>
      <c r="AA142" s="447">
        <f>SUMPRODUCT($F$30:$F$32,$M$16:$M$18)*MIN(Q142/O142,1)*X142</f>
        <v>1462.7610770499225</v>
      </c>
      <c r="AB142" s="447">
        <v>0</v>
      </c>
      <c r="AC142" s="447">
        <v>0</v>
      </c>
      <c r="AD142" s="447">
        <f t="shared" si="49"/>
        <v>0</v>
      </c>
      <c r="AE142" s="447">
        <v>0</v>
      </c>
      <c r="AF142" s="448">
        <f t="shared" si="20"/>
        <v>14121.425491804172</v>
      </c>
      <c r="AG142" s="453">
        <f t="shared" si="40"/>
        <v>469.67429276963833</v>
      </c>
      <c r="AH142" s="454">
        <f t="shared" si="47"/>
        <v>-8.3164220060481853</v>
      </c>
      <c r="AI142" s="104">
        <f t="shared" si="41"/>
        <v>-16.066422006048185</v>
      </c>
      <c r="AJ142" s="455">
        <f t="shared" si="53"/>
        <v>-6.6422006048185267E-2</v>
      </c>
      <c r="AK142" s="456"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5">
        <v>1</v>
      </c>
      <c r="D143" s="64">
        <v>1</v>
      </c>
      <c r="E143" s="64">
        <v>0</v>
      </c>
      <c r="F143" s="197">
        <v>0</v>
      </c>
      <c r="G143" s="197">
        <v>1</v>
      </c>
      <c r="H143" s="446">
        <f t="shared" si="17"/>
        <v>3</v>
      </c>
      <c r="I143" s="447">
        <f>$N$15+$L$15+$M$15</f>
        <v>10.200000000000001</v>
      </c>
      <c r="J143" s="447">
        <f t="shared" si="36"/>
        <v>409.66530612244901</v>
      </c>
      <c r="K143" s="447">
        <f>SUMPRODUCT($E$45:$E$47,$N$16:$N$18)+SUMPRODUCT($E$15:$E$17,$L$16:$L$18)+SUMPRODUCT($E$30:$E$32,$M$16:$M$18)</f>
        <v>15</v>
      </c>
      <c r="L143" s="448">
        <f t="shared" si="18"/>
        <v>424.66530612244901</v>
      </c>
      <c r="M143" s="449">
        <f>SUMPRODUCT($C$45:$C$47,$N$16:$N$18)+SUMPRODUCT($C$15:$C$17,$L$16:$L$18)+SUMPRODUCT($C$30:$C$32,$M$16:$M$18)</f>
        <v>12</v>
      </c>
      <c r="N143" s="104">
        <f>SUMPRODUCT($D$15:$D$17,$L$16:$L$18)</f>
        <v>26.099999999999998</v>
      </c>
      <c r="O143" s="104">
        <f>SUMPRODUCT($D$30:$D$32,$M$16:$M$18)</f>
        <v>14</v>
      </c>
      <c r="P143" s="104">
        <f t="shared" si="50"/>
        <v>30</v>
      </c>
      <c r="Q143" s="450">
        <f t="shared" si="48"/>
        <v>32.63181121711181</v>
      </c>
      <c r="R143" s="1310">
        <f>(L$15+N$15+1-$J$15)*$O$2+$E$45+25</f>
        <v>322.2081632653061</v>
      </c>
      <c r="S143" s="1310">
        <f>(M$15+L$15+N$15+1-$J$15)*$O$2+$E$45+$E$15+$O$3</f>
        <v>468.76326530612238</v>
      </c>
      <c r="T143" s="1310">
        <f t="shared" si="51"/>
        <v>225.81632653061223</v>
      </c>
      <c r="U143" s="451">
        <f t="shared" si="45"/>
        <v>0.79983301651099914</v>
      </c>
      <c r="V143" s="451">
        <f t="shared" si="37"/>
        <v>0.4290292042587735</v>
      </c>
      <c r="W143" s="451">
        <f t="shared" si="52"/>
        <v>0.91934829484022895</v>
      </c>
      <c r="X143" s="452">
        <f t="shared" si="38"/>
        <v>1</v>
      </c>
      <c r="Y143" s="447">
        <f t="shared" si="39"/>
        <v>9752.4414498438418</v>
      </c>
      <c r="Z143" s="447">
        <f t="shared" si="46"/>
        <v>4634.813610815293</v>
      </c>
      <c r="AA143" s="447">
        <f>SUMPRODUCT($F$30:$F$32,$M$16:$M$18)*MIN(Q143/O143,1)*X143</f>
        <v>1462.7610770499225</v>
      </c>
      <c r="AB143" s="447">
        <v>0</v>
      </c>
      <c r="AC143" s="447">
        <v>0</v>
      </c>
      <c r="AD143" s="447">
        <f t="shared" si="49"/>
        <v>0</v>
      </c>
      <c r="AE143" s="447">
        <v>0</v>
      </c>
      <c r="AF143" s="448">
        <f t="shared" si="20"/>
        <v>15850.016137709059</v>
      </c>
      <c r="AG143" s="453">
        <f t="shared" si="40"/>
        <v>485.72284364643116</v>
      </c>
      <c r="AH143" s="454">
        <f t="shared" si="47"/>
        <v>-6.5318112171118123</v>
      </c>
      <c r="AI143" s="104">
        <f t="shared" si="41"/>
        <v>-18.63181121711181</v>
      </c>
      <c r="AJ143" s="455">
        <f t="shared" si="53"/>
        <v>-2.6318112171118102</v>
      </c>
      <c r="AK143" s="456"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5">
        <v>1</v>
      </c>
      <c r="D144" s="64">
        <v>1</v>
      </c>
      <c r="E144" s="64">
        <v>0</v>
      </c>
      <c r="F144" s="197">
        <v>0</v>
      </c>
      <c r="G144" s="197">
        <v>1</v>
      </c>
      <c r="H144" s="446">
        <f t="shared" si="17"/>
        <v>3</v>
      </c>
      <c r="I144" s="447">
        <f>$N$15+$M$15+$M$15</f>
        <v>11.200000000000001</v>
      </c>
      <c r="J144" s="447">
        <f t="shared" si="36"/>
        <v>449.82857142857148</v>
      </c>
      <c r="K144" s="447">
        <f>SUMPRODUCT($E$45:$E$47,$N$16:$N$18)+SUMPRODUCT($E$16:$E$18,$M$16:$M$18)+SUMPRODUCT($E$30:$E$32,$M$16:$M$18)</f>
        <v>10</v>
      </c>
      <c r="L144" s="448">
        <f t="shared" si="18"/>
        <v>459.82857142857148</v>
      </c>
      <c r="M144" s="449">
        <f>SUMPRODUCT($C$45:$C$47,$N$16:$N$18)+SUMPRODUCT($C$16:$C$18,$M$16:$M$18)+SUMPRODUCT($C$30:$C$32,$M$16:$M$18)</f>
        <v>13</v>
      </c>
      <c r="N144" s="104">
        <f>SUMPRODUCT($D$16:$D$18,$M$16:$M$18)</f>
        <v>30.45</v>
      </c>
      <c r="O144" s="104">
        <f>SUMPRODUCT($D$30:$D$32,$M$16:$M$18)</f>
        <v>14</v>
      </c>
      <c r="P144" s="104">
        <f t="shared" si="50"/>
        <v>30</v>
      </c>
      <c r="Q144" s="450">
        <f t="shared" si="48"/>
        <v>35.197200428175442</v>
      </c>
      <c r="R144" s="1310">
        <f>(M$15+N$15+1-$J$15)*$O$2+$E$45+25</f>
        <v>362.37142857142857</v>
      </c>
      <c r="S144" s="1310">
        <f>(M$15+M$15+N$15+1-$J$15)*$O$2+$E$45+$E$16+$O$3</f>
        <v>503.92653061224485</v>
      </c>
      <c r="T144" s="1310">
        <f t="shared" si="51"/>
        <v>225.81632653061223</v>
      </c>
      <c r="U144" s="451">
        <f t="shared" si="45"/>
        <v>0.86512562446940244</v>
      </c>
      <c r="V144" s="451">
        <f t="shared" si="37"/>
        <v>0.39775890780202411</v>
      </c>
      <c r="W144" s="451">
        <f t="shared" si="52"/>
        <v>0.8523405167186231</v>
      </c>
      <c r="X144" s="452">
        <f t="shared" si="38"/>
        <v>1</v>
      </c>
      <c r="Y144" s="447">
        <f t="shared" si="39"/>
        <v>10708.563160612846</v>
      </c>
      <c r="Z144" s="447">
        <f t="shared" si="46"/>
        <v>5407.2825459511769</v>
      </c>
      <c r="AA144" s="447">
        <f>SUMPRODUCT($F$30:$F$32,$M$16:$M$18)*MIN(Q144/O144,1)*X144</f>
        <v>1462.7610770499225</v>
      </c>
      <c r="AB144" s="447">
        <v>0</v>
      </c>
      <c r="AC144" s="447">
        <v>0</v>
      </c>
      <c r="AD144" s="447">
        <f t="shared" si="49"/>
        <v>0</v>
      </c>
      <c r="AE144" s="447">
        <v>0</v>
      </c>
      <c r="AF144" s="448">
        <f t="shared" si="20"/>
        <v>17578.606783613945</v>
      </c>
      <c r="AG144" s="453">
        <f t="shared" si="40"/>
        <v>499.43195963796677</v>
      </c>
      <c r="AH144" s="454">
        <f t="shared" si="47"/>
        <v>-4.747200428175443</v>
      </c>
      <c r="AI144" s="104">
        <f t="shared" si="41"/>
        <v>-21.197200428175442</v>
      </c>
      <c r="AJ144" s="455">
        <f t="shared" si="53"/>
        <v>-5.1972004281754423</v>
      </c>
      <c r="AK144" s="456"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5">
        <v>1</v>
      </c>
      <c r="D145" s="64">
        <v>1</v>
      </c>
      <c r="E145" s="64">
        <v>0</v>
      </c>
      <c r="F145" s="197">
        <v>0</v>
      </c>
      <c r="G145" s="197">
        <v>1</v>
      </c>
      <c r="H145" s="446">
        <f t="shared" si="17"/>
        <v>3</v>
      </c>
      <c r="I145" s="447">
        <f>$N$15+$N$15+$M$15</f>
        <v>12.200000000000001</v>
      </c>
      <c r="J145" s="447">
        <f t="shared" si="36"/>
        <v>489.99183673469389</v>
      </c>
      <c r="K145" s="447">
        <f>SUMPRODUCT($E$45:$E$47,$N$16:$N$18)+SUMPRODUCT($E$17:$E$19,$N$16:$N$18)+SUMPRODUCT($E$30:$E$32,$M$16:$M$18)</f>
        <v>5</v>
      </c>
      <c r="L145" s="448">
        <f t="shared" si="18"/>
        <v>494.99183673469389</v>
      </c>
      <c r="M145" s="449">
        <f>SUMPRODUCT($C$45:$C$47,$N$16:$N$18)+SUMPRODUCT($C$17:$C$19,$N$16:$N$18)+SUMPRODUCT($C$30:$C$32,$M$16:$M$18)</f>
        <v>14</v>
      </c>
      <c r="N145" s="104">
        <f>SUMPRODUCT($D$17:$D$19,$N$16:$N$18)</f>
        <v>34.799999999999997</v>
      </c>
      <c r="O145" s="104">
        <f>SUMPRODUCT($D$30:$D$32,$M$16:$M$18)</f>
        <v>14</v>
      </c>
      <c r="P145" s="104">
        <f t="shared" si="50"/>
        <v>30</v>
      </c>
      <c r="Q145" s="450">
        <f t="shared" si="48"/>
        <v>37.76258963923906</v>
      </c>
      <c r="R145" s="1310">
        <f>(N$15+N$15+1-$J$15)*$O$2+$E$45+25</f>
        <v>402.53469387755104</v>
      </c>
      <c r="S145" s="1310">
        <f>(M$15+N$15+N$15+1-$J$15)*$O$2+$E$45+$E$17+$O$3</f>
        <v>539.08979591836737</v>
      </c>
      <c r="T145" s="1310">
        <f t="shared" si="51"/>
        <v>225.81632653061223</v>
      </c>
      <c r="U145" s="451">
        <f t="shared" si="45"/>
        <v>0.92154696837420702</v>
      </c>
      <c r="V145" s="451">
        <f t="shared" si="37"/>
        <v>0.37073728612755458</v>
      </c>
      <c r="W145" s="451">
        <f t="shared" si="52"/>
        <v>0.79443704170190266</v>
      </c>
      <c r="X145" s="452">
        <f t="shared" si="38"/>
        <v>1</v>
      </c>
      <c r="Y145" s="447">
        <f t="shared" si="39"/>
        <v>11664.684871381849</v>
      </c>
      <c r="Z145" s="447">
        <f t="shared" si="46"/>
        <v>6179.7514810870571</v>
      </c>
      <c r="AA145" s="447">
        <f>SUMPRODUCT($F$30:$F$32,$M$16:$M$18)*MIN(Q145/O145,1)*X145</f>
        <v>1462.7610770499225</v>
      </c>
      <c r="AB145" s="447">
        <v>0</v>
      </c>
      <c r="AC145" s="447">
        <v>0</v>
      </c>
      <c r="AD145" s="447">
        <f t="shared" si="49"/>
        <v>0</v>
      </c>
      <c r="AE145" s="447">
        <v>0</v>
      </c>
      <c r="AF145" s="448">
        <f t="shared" si="20"/>
        <v>19307.19742951883</v>
      </c>
      <c r="AG145" s="453">
        <f t="shared" si="40"/>
        <v>511.27842698205063</v>
      </c>
      <c r="AH145" s="454">
        <f t="shared" si="47"/>
        <v>-2.9625896392390629</v>
      </c>
      <c r="AI145" s="104">
        <f t="shared" si="41"/>
        <v>-23.76258963923906</v>
      </c>
      <c r="AJ145" s="455">
        <f t="shared" si="53"/>
        <v>-7.7625896392390601</v>
      </c>
      <c r="AK145" s="456"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5">
        <v>1</v>
      </c>
      <c r="D146" s="64">
        <v>1</v>
      </c>
      <c r="E146" s="64">
        <v>0</v>
      </c>
      <c r="F146" s="197">
        <v>0</v>
      </c>
      <c r="G146" s="197">
        <v>1</v>
      </c>
      <c r="H146" s="446">
        <f t="shared" si="17"/>
        <v>3</v>
      </c>
      <c r="I146" s="447">
        <f>$N$15+$J$15+$N$15</f>
        <v>9.2000000000000011</v>
      </c>
      <c r="J146" s="447">
        <f t="shared" si="36"/>
        <v>369.50204081632654</v>
      </c>
      <c r="K146" s="447">
        <f>SUMPRODUCT($E$45:$E$47,$N$16:$N$18)+SUMPRODUCT($E$13:$E$15,$J$16:$J$18)+SUMPRODUCT($E$31:$E$33,$N$16:$N$18)</f>
        <v>20</v>
      </c>
      <c r="L146" s="448">
        <f t="shared" si="18"/>
        <v>389.50204081632654</v>
      </c>
      <c r="M146" s="449">
        <f>SUMPRODUCT($C$45:$C$47,$N$16:$N$18)+SUMPRODUCT($C$13:$C$15,$J$16:$J$18)+SUMPRODUCT($C$31:$C$33,$N$16:$N$18)</f>
        <v>11</v>
      </c>
      <c r="N146" s="104">
        <f>SUMPRODUCT($D$13:$D$15,$J$16:$J$18)</f>
        <v>17.399999999999999</v>
      </c>
      <c r="O146" s="104">
        <f>SUMPRODUCT($D$31:$D$33,$N$16:$N$18)</f>
        <v>16</v>
      </c>
      <c r="P146" s="104">
        <f t="shared" si="50"/>
        <v>30</v>
      </c>
      <c r="Q146" s="450">
        <f t="shared" si="48"/>
        <v>30.33789191128237</v>
      </c>
      <c r="R146" s="1310">
        <f>(J$15+N$15+1-$J$15)*$O$2+$E$45+25</f>
        <v>241.88163265306122</v>
      </c>
      <c r="S146" s="1310">
        <f>(N$15+J$15+N$15+1-$J$15)*$O$2+$E$45+$E$13+$O$3</f>
        <v>438.6</v>
      </c>
      <c r="T146" s="1310">
        <f t="shared" si="51"/>
        <v>225.81632653061223</v>
      </c>
      <c r="U146" s="451">
        <f t="shared" si="45"/>
        <v>0.57354018040815502</v>
      </c>
      <c r="V146" s="451">
        <f t="shared" si="37"/>
        <v>0.5273932693408323</v>
      </c>
      <c r="W146" s="451">
        <f t="shared" si="52"/>
        <v>0.98886238001406057</v>
      </c>
      <c r="X146" s="452">
        <f t="shared" si="38"/>
        <v>1</v>
      </c>
      <c r="Y146" s="447">
        <f t="shared" si="39"/>
        <v>8796.3197390748373</v>
      </c>
      <c r="Z146" s="447">
        <f t="shared" si="46"/>
        <v>3089.8757405435285</v>
      </c>
      <c r="AA146" s="447">
        <f>SUMPRODUCT($F$31:$F$33,$N$16:$N$18)*MIN(Q146/O146,1)*X146</f>
        <v>1759.7269451999114</v>
      </c>
      <c r="AB146" s="447">
        <v>0</v>
      </c>
      <c r="AC146" s="447">
        <v>0</v>
      </c>
      <c r="AD146" s="447">
        <f t="shared" si="49"/>
        <v>0</v>
      </c>
      <c r="AE146" s="447">
        <v>0</v>
      </c>
      <c r="AF146" s="448">
        <f t="shared" si="20"/>
        <v>13645.922424818276</v>
      </c>
      <c r="AG146" s="453">
        <f t="shared" si="40"/>
        <v>449.79797754976801</v>
      </c>
      <c r="AH146" s="454">
        <f t="shared" si="47"/>
        <v>-12.937891911282371</v>
      </c>
      <c r="AI146" s="104">
        <f t="shared" si="41"/>
        <v>-14.33789191128237</v>
      </c>
      <c r="AJ146" s="455">
        <f t="shared" si="53"/>
        <v>-0.33789191128236951</v>
      </c>
      <c r="AK146" s="456"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5">
        <v>1</v>
      </c>
      <c r="D147" s="64">
        <v>1</v>
      </c>
      <c r="E147" s="64">
        <v>0</v>
      </c>
      <c r="F147" s="197">
        <v>0</v>
      </c>
      <c r="G147" s="197">
        <v>1</v>
      </c>
      <c r="H147" s="446">
        <f t="shared" si="17"/>
        <v>3</v>
      </c>
      <c r="I147" s="447">
        <f>$N$15+$K$15+$N$15</f>
        <v>10.200000000000001</v>
      </c>
      <c r="J147" s="447">
        <f t="shared" si="36"/>
        <v>409.66530612244901</v>
      </c>
      <c r="K147" s="447">
        <f>SUMPRODUCT($E$45:$E$47,$N$16:$N$18)+SUMPRODUCT($E$14:$E$16,$K$16:$K$18)+SUMPRODUCT($E$31:$E$33,$N$16:$N$18)</f>
        <v>15</v>
      </c>
      <c r="L147" s="448">
        <f t="shared" si="18"/>
        <v>424.66530612244901</v>
      </c>
      <c r="M147" s="449">
        <f>SUMPRODUCT($C$45:$C$47,$N$16:$N$18)+SUMPRODUCT($C$14:$C$16,$K$16:$K$18)+SUMPRODUCT($C$31:$C$33,$N$16:$N$18)</f>
        <v>12</v>
      </c>
      <c r="N147" s="104">
        <f>SUMPRODUCT($D$14:$D$16,$K$16:$K$18)</f>
        <v>21.75</v>
      </c>
      <c r="O147" s="104">
        <f>SUMPRODUCT($D$31:$D$33,$N$16:$N$18)</f>
        <v>16</v>
      </c>
      <c r="P147" s="104">
        <f t="shared" si="50"/>
        <v>30</v>
      </c>
      <c r="Q147" s="450">
        <f t="shared" si="48"/>
        <v>32.903281122345994</v>
      </c>
      <c r="R147" s="1310">
        <f>(K$15+N$15+1-$J$15)*$O$2+$E$45+25</f>
        <v>282.04489795918369</v>
      </c>
      <c r="S147" s="1310">
        <f>(N$15+K$15+N$15+1-$J$15)*$O$2+$E$45+$E$14+$O$3</f>
        <v>473.76326530612243</v>
      </c>
      <c r="T147" s="1310">
        <f t="shared" si="51"/>
        <v>225.81632653061223</v>
      </c>
      <c r="U147" s="451">
        <f t="shared" si="45"/>
        <v>0.66102830046419492</v>
      </c>
      <c r="V147" s="451">
        <f t="shared" si="37"/>
        <v>0.48627369229549972</v>
      </c>
      <c r="W147" s="451">
        <f t="shared" si="52"/>
        <v>0.91176317305406196</v>
      </c>
      <c r="X147" s="452">
        <f t="shared" si="38"/>
        <v>1</v>
      </c>
      <c r="Y147" s="447">
        <f t="shared" si="39"/>
        <v>9752.4414498438418</v>
      </c>
      <c r="Z147" s="447">
        <f t="shared" si="46"/>
        <v>3862.3446756794115</v>
      </c>
      <c r="AA147" s="447">
        <f>SUMPRODUCT($F$31:$F$33,$N$16:$N$18)*MIN(Q147/O147,1)*X147</f>
        <v>1759.7269451999114</v>
      </c>
      <c r="AB147" s="447">
        <v>0</v>
      </c>
      <c r="AC147" s="447">
        <v>0</v>
      </c>
      <c r="AD147" s="447">
        <f t="shared" si="49"/>
        <v>0</v>
      </c>
      <c r="AE147" s="447">
        <v>0</v>
      </c>
      <c r="AF147" s="448">
        <f t="shared" si="20"/>
        <v>15374.513070723164</v>
      </c>
      <c r="AG147" s="453">
        <f t="shared" si="40"/>
        <v>467.26382738412337</v>
      </c>
      <c r="AH147" s="454">
        <f t="shared" si="47"/>
        <v>-11.153281122345994</v>
      </c>
      <c r="AI147" s="104">
        <f t="shared" si="41"/>
        <v>-16.903281122345994</v>
      </c>
      <c r="AJ147" s="455">
        <f t="shared" si="53"/>
        <v>-2.9032811223459944</v>
      </c>
      <c r="AK147" s="456"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5">
        <v>1</v>
      </c>
      <c r="D148" s="64">
        <v>1</v>
      </c>
      <c r="E148" s="64">
        <v>0</v>
      </c>
      <c r="F148" s="197">
        <v>0</v>
      </c>
      <c r="G148" s="197">
        <v>1</v>
      </c>
      <c r="H148" s="446">
        <f t="shared" si="17"/>
        <v>3</v>
      </c>
      <c r="I148" s="447">
        <f>$N$15+$L$15+$N$15</f>
        <v>11.200000000000001</v>
      </c>
      <c r="J148" s="447">
        <f t="shared" si="36"/>
        <v>449.82857142857148</v>
      </c>
      <c r="K148" s="447">
        <f>SUMPRODUCT($E$45:$E$47,$N$16:$N$18)+SUMPRODUCT($E$15:$E$17,$L$16:$L$18)+SUMPRODUCT($E$31:$E$33,$N$16:$N$18)</f>
        <v>10</v>
      </c>
      <c r="L148" s="448">
        <f t="shared" si="18"/>
        <v>459.82857142857148</v>
      </c>
      <c r="M148" s="449">
        <f>SUMPRODUCT($C$45:$C$47,$N$16:$N$18)+SUMPRODUCT($C$15:$C$17,$L$16:$L$18)+SUMPRODUCT($C$31:$C$33,$N$16:$N$18)</f>
        <v>13</v>
      </c>
      <c r="N148" s="104">
        <f>SUMPRODUCT($D$15:$D$17,$L$16:$L$18)</f>
        <v>26.099999999999998</v>
      </c>
      <c r="O148" s="104">
        <f>SUMPRODUCT($D$31:$D$33,$N$16:$N$18)</f>
        <v>16</v>
      </c>
      <c r="P148" s="104">
        <f t="shared" si="50"/>
        <v>30</v>
      </c>
      <c r="Q148" s="450">
        <f t="shared" si="48"/>
        <v>35.468670333409626</v>
      </c>
      <c r="R148" s="1310">
        <f>(L$15+N$15+1-$J$15)*$O$2+$E$45+25</f>
        <v>322.2081632653061</v>
      </c>
      <c r="S148" s="1310">
        <f>(N$15+L$15+N$15+1-$J$15)*$O$2+$E$45+$E$15+$O$3</f>
        <v>508.9265306122449</v>
      </c>
      <c r="T148" s="1310">
        <f t="shared" si="51"/>
        <v>225.81632653061223</v>
      </c>
      <c r="U148" s="451">
        <f t="shared" si="45"/>
        <v>0.73586068365847834</v>
      </c>
      <c r="V148" s="451">
        <f t="shared" si="37"/>
        <v>0.45110233480979522</v>
      </c>
      <c r="W148" s="451">
        <f t="shared" si="52"/>
        <v>0.845816877768366</v>
      </c>
      <c r="X148" s="452">
        <f t="shared" si="38"/>
        <v>1</v>
      </c>
      <c r="Y148" s="447">
        <f t="shared" si="39"/>
        <v>10708.563160612846</v>
      </c>
      <c r="Z148" s="447">
        <f t="shared" si="46"/>
        <v>4634.813610815293</v>
      </c>
      <c r="AA148" s="447">
        <f>SUMPRODUCT($F$31:$F$33,$N$16:$N$18)*MIN(Q148/O148,1)*X148</f>
        <v>1759.7269451999114</v>
      </c>
      <c r="AB148" s="447">
        <v>0</v>
      </c>
      <c r="AC148" s="447">
        <v>0</v>
      </c>
      <c r="AD148" s="447">
        <f t="shared" si="49"/>
        <v>0</v>
      </c>
      <c r="AE148" s="447">
        <v>0</v>
      </c>
      <c r="AF148" s="448">
        <f t="shared" si="20"/>
        <v>17103.103716628051</v>
      </c>
      <c r="AG148" s="453">
        <f t="shared" si="40"/>
        <v>482.20312619156249</v>
      </c>
      <c r="AH148" s="454">
        <f t="shared" si="47"/>
        <v>-9.3686703334096286</v>
      </c>
      <c r="AI148" s="104">
        <f t="shared" si="41"/>
        <v>-19.468670333409626</v>
      </c>
      <c r="AJ148" s="455">
        <f t="shared" si="53"/>
        <v>-5.4686703334096265</v>
      </c>
      <c r="AK148" s="456"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5">
        <v>1</v>
      </c>
      <c r="D149" s="64">
        <v>1</v>
      </c>
      <c r="E149" s="64">
        <v>0</v>
      </c>
      <c r="F149" s="197">
        <v>0</v>
      </c>
      <c r="G149" s="197">
        <v>1</v>
      </c>
      <c r="H149" s="446">
        <f t="shared" ref="H149:H150" si="55">SUM(C149:G149)</f>
        <v>3</v>
      </c>
      <c r="I149" s="447">
        <f>$N$15+$M$15+$N$15</f>
        <v>12.200000000000001</v>
      </c>
      <c r="J149" s="447">
        <f t="shared" si="36"/>
        <v>489.99183673469389</v>
      </c>
      <c r="K149" s="447">
        <f>SUMPRODUCT($E$45:$E$47,$N$16:$N$18)+SUMPRODUCT($E$16:$E$18,$M$16:$M$18)+SUMPRODUCT($E$31:$E$33,$N$16:$N$18)</f>
        <v>5</v>
      </c>
      <c r="L149" s="448">
        <f t="shared" ref="L149:L150" si="56">J149+K149</f>
        <v>494.99183673469389</v>
      </c>
      <c r="M149" s="449">
        <f>SUMPRODUCT($C$45:$C$47,$N$16:$N$18)+SUMPRODUCT($C$16:$C$18,$M$16:$M$18)+SUMPRODUCT($C$31:$C$33,$N$16:$N$18)</f>
        <v>14</v>
      </c>
      <c r="N149" s="104">
        <f>SUMPRODUCT($D$16:$D$18,$M$16:$M$18)</f>
        <v>30.45</v>
      </c>
      <c r="O149" s="104">
        <f>SUMPRODUCT($D$31:$D$33,$N$16:$N$18)</f>
        <v>16</v>
      </c>
      <c r="P149" s="104">
        <f t="shared" si="50"/>
        <v>30</v>
      </c>
      <c r="Q149" s="450">
        <f t="shared" si="48"/>
        <v>38.034059544473251</v>
      </c>
      <c r="R149" s="1310">
        <f>(M$15+N$15+1-$J$15)*$O$2+$E$45+25</f>
        <v>362.37142857142857</v>
      </c>
      <c r="S149" s="1310">
        <f>(N$15+M$15+N$15+1-$J$15)*$O$2+$E$45+$E$16+$O$3</f>
        <v>544.08979591836737</v>
      </c>
      <c r="T149" s="1310">
        <f t="shared" si="51"/>
        <v>225.81632653061223</v>
      </c>
      <c r="U149" s="451">
        <f t="shared" si="45"/>
        <v>0.80059821025401701</v>
      </c>
      <c r="V149" s="451">
        <f t="shared" si="37"/>
        <v>0.42067557845859682</v>
      </c>
      <c r="W149" s="451">
        <f t="shared" si="52"/>
        <v>0.78876670960986905</v>
      </c>
      <c r="X149" s="452">
        <f t="shared" si="38"/>
        <v>1</v>
      </c>
      <c r="Y149" s="447">
        <f t="shared" si="39"/>
        <v>11664.684871381849</v>
      </c>
      <c r="Z149" s="447">
        <f t="shared" si="46"/>
        <v>5407.2825459511769</v>
      </c>
      <c r="AA149" s="447">
        <f>SUMPRODUCT($F$31:$F$33,$N$16:$N$18)*MIN(Q149/O149,1)*X149</f>
        <v>1759.7269451999114</v>
      </c>
      <c r="AB149" s="447">
        <v>0</v>
      </c>
      <c r="AC149" s="447">
        <v>0</v>
      </c>
      <c r="AD149" s="447">
        <f t="shared" si="49"/>
        <v>0</v>
      </c>
      <c r="AE149" s="447">
        <v>0</v>
      </c>
      <c r="AF149" s="448">
        <f t="shared" ref="AF149:AF150" si="57">SUM(Y149:AE149)</f>
        <v>18831.69436253294</v>
      </c>
      <c r="AG149" s="453">
        <f t="shared" si="40"/>
        <v>495.12711995712755</v>
      </c>
      <c r="AH149" s="454">
        <f t="shared" si="47"/>
        <v>-7.5840595444732521</v>
      </c>
      <c r="AI149" s="104">
        <f t="shared" si="41"/>
        <v>-22.034059544473251</v>
      </c>
      <c r="AJ149" s="455">
        <f t="shared" si="53"/>
        <v>-8.0340595444732514</v>
      </c>
      <c r="AK149" s="456"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5">
        <v>1</v>
      </c>
      <c r="D150" s="64">
        <v>1</v>
      </c>
      <c r="E150" s="64">
        <v>0</v>
      </c>
      <c r="F150" s="197">
        <v>0</v>
      </c>
      <c r="G150" s="197">
        <v>1</v>
      </c>
      <c r="H150" s="446">
        <f t="shared" si="55"/>
        <v>3</v>
      </c>
      <c r="I150" s="447">
        <f>$N$15+$N$15+$N$15</f>
        <v>13.200000000000001</v>
      </c>
      <c r="J150" s="447">
        <f t="shared" si="36"/>
        <v>530.15510204081636</v>
      </c>
      <c r="K150" s="447">
        <f>SUMPRODUCT($E$45:$E$47,$N$16:$N$18)+SUMPRODUCT($E$17:$E$19,$N$16:$N$18)+SUMPRODUCT($E$31:$E$33,$N$16:$N$18)</f>
        <v>0</v>
      </c>
      <c r="L150" s="448">
        <f t="shared" si="56"/>
        <v>530.15510204081636</v>
      </c>
      <c r="M150" s="449">
        <f>SUMPRODUCT($C$45:$C$47,$N$16:$N$18)+SUMPRODUCT($C$17:$C$19,$N$16:$N$18)+SUMPRODUCT($C$31:$C$33,$N$16:$N$18)</f>
        <v>15</v>
      </c>
      <c r="N150" s="104">
        <f>SUMPRODUCT($D$17:$D$19,$N$16:$N$18)</f>
        <v>34.799999999999997</v>
      </c>
      <c r="O150" s="104">
        <f>SUMPRODUCT($D$31:$D$33,$N$16:$N$18)</f>
        <v>16</v>
      </c>
      <c r="P150" s="104">
        <f t="shared" si="50"/>
        <v>30</v>
      </c>
      <c r="Q150" s="450">
        <f t="shared" si="48"/>
        <v>40.599448755536876</v>
      </c>
      <c r="R150" s="1310">
        <f>(N$15+N$15+1-$J$15)*$O$2+$E$45+25</f>
        <v>402.53469387755104</v>
      </c>
      <c r="S150" s="1310">
        <f>(N$15+N$15+N$15+1-$J$15)*$O$2+$E$45+$E$17+$O$3</f>
        <v>579.25306122448978</v>
      </c>
      <c r="T150" s="1310">
        <f t="shared" si="51"/>
        <v>225.81632653061223</v>
      </c>
      <c r="U150" s="451">
        <f t="shared" si="45"/>
        <v>0.85715449511501163</v>
      </c>
      <c r="V150" s="451">
        <f t="shared" si="37"/>
        <v>0.39409402074253408</v>
      </c>
      <c r="W150" s="451">
        <f t="shared" si="52"/>
        <v>0.73892628889225143</v>
      </c>
      <c r="X150" s="452">
        <f t="shared" si="38"/>
        <v>1</v>
      </c>
      <c r="Y150" s="447">
        <f t="shared" si="39"/>
        <v>12620.806582150854</v>
      </c>
      <c r="Z150" s="447">
        <f t="shared" si="46"/>
        <v>6179.7514810870571</v>
      </c>
      <c r="AA150" s="447">
        <f>SUMPRODUCT($F$31:$F$33,$N$16:$N$18)*MIN(Q150/O150,1)*X150</f>
        <v>1759.7269451999114</v>
      </c>
      <c r="AB150" s="447">
        <v>0</v>
      </c>
      <c r="AC150" s="447">
        <v>0</v>
      </c>
      <c r="AD150" s="447">
        <f t="shared" si="49"/>
        <v>0</v>
      </c>
      <c r="AE150" s="447">
        <v>0</v>
      </c>
      <c r="AF150" s="448">
        <f t="shared" si="57"/>
        <v>20560.285008437822</v>
      </c>
      <c r="AG150" s="453">
        <f t="shared" si="40"/>
        <v>506.41783666173177</v>
      </c>
      <c r="AH150" s="454">
        <f t="shared" si="47"/>
        <v>-5.7994487555368792</v>
      </c>
      <c r="AI150" s="104">
        <f t="shared" si="41"/>
        <v>-24.599448755536876</v>
      </c>
      <c r="AJ150" s="455">
        <f t="shared" si="53"/>
        <v>-10.599448755536876</v>
      </c>
      <c r="AK150" s="456"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5" t="s">
        <v>1772</v>
      </c>
      <c r="C151" s="466"/>
      <c r="D151" s="467"/>
      <c r="E151" s="467"/>
      <c r="F151" s="467"/>
      <c r="G151" s="467"/>
      <c r="H151" s="468"/>
      <c r="I151" s="469"/>
      <c r="J151" s="469"/>
      <c r="K151" s="469"/>
      <c r="L151" s="470"/>
      <c r="M151" s="471"/>
      <c r="N151" s="472"/>
      <c r="O151" s="472"/>
      <c r="P151" s="472"/>
      <c r="Q151" s="473"/>
      <c r="R151" s="1311"/>
      <c r="S151" s="1311"/>
      <c r="T151" s="1311"/>
      <c r="U151" s="474"/>
      <c r="V151" s="474"/>
      <c r="W151" s="474"/>
      <c r="X151" s="475"/>
      <c r="Y151" s="469"/>
      <c r="Z151" s="469"/>
      <c r="AA151" s="469"/>
      <c r="AB151" s="469"/>
      <c r="AC151" s="469"/>
      <c r="AD151" s="469"/>
      <c r="AE151" s="469"/>
      <c r="AF151" s="470"/>
      <c r="AG151" s="476"/>
      <c r="AH151" s="477"/>
      <c r="AI151" s="472"/>
      <c r="AJ151" s="478"/>
      <c r="AK151" s="444"/>
    </row>
    <row r="152" spans="2:43" ht="12.75" customHeight="1">
      <c r="B152" s="464" t="s">
        <v>1773</v>
      </c>
      <c r="C152" s="445"/>
      <c r="D152" s="64"/>
      <c r="E152" s="64"/>
      <c r="F152" s="64"/>
      <c r="G152" s="64"/>
      <c r="H152" s="446"/>
      <c r="I152" s="447"/>
      <c r="J152" s="447"/>
      <c r="K152" s="447"/>
      <c r="L152" s="448"/>
      <c r="M152" s="449"/>
      <c r="N152" s="104"/>
      <c r="O152" s="104"/>
      <c r="P152" s="104"/>
      <c r="Q152" s="450"/>
      <c r="R152" s="1310"/>
      <c r="S152" s="1310"/>
      <c r="T152" s="1310"/>
      <c r="U152" s="451"/>
      <c r="V152" s="451"/>
      <c r="W152" s="451"/>
      <c r="X152" s="452"/>
      <c r="Y152" s="447"/>
      <c r="Z152" s="447"/>
      <c r="AA152" s="447"/>
      <c r="AB152" s="447"/>
      <c r="AC152" s="447"/>
      <c r="AD152" s="447"/>
      <c r="AE152" s="447"/>
      <c r="AF152" s="448"/>
      <c r="AG152" s="453"/>
      <c r="AH152" s="454"/>
      <c r="AI152" s="104"/>
      <c r="AJ152" s="455"/>
      <c r="AK152" s="456"/>
    </row>
    <row r="153" spans="2:43" ht="12.75" customHeight="1">
      <c r="B153" s="464" t="s">
        <v>1774</v>
      </c>
      <c r="C153" s="445"/>
      <c r="D153" s="64"/>
      <c r="E153" s="64"/>
      <c r="F153" s="64"/>
      <c r="G153" s="64"/>
      <c r="H153" s="446"/>
      <c r="I153" s="447"/>
      <c r="J153" s="447"/>
      <c r="K153" s="447"/>
      <c r="L153" s="448"/>
      <c r="M153" s="449"/>
      <c r="N153" s="104"/>
      <c r="O153" s="104"/>
      <c r="P153" s="104"/>
      <c r="Q153" s="450"/>
      <c r="R153" s="1310"/>
      <c r="S153" s="1310"/>
      <c r="T153" s="1310"/>
      <c r="U153" s="451"/>
      <c r="V153" s="451"/>
      <c r="W153" s="451"/>
      <c r="X153" s="452"/>
      <c r="Y153" s="447"/>
      <c r="Z153" s="447"/>
      <c r="AA153" s="447"/>
      <c r="AB153" s="447"/>
      <c r="AC153" s="447"/>
      <c r="AD153" s="447"/>
      <c r="AE153" s="447"/>
      <c r="AF153" s="448"/>
      <c r="AG153" s="453"/>
      <c r="AH153" s="454"/>
      <c r="AI153" s="104"/>
      <c r="AJ153" s="455"/>
      <c r="AK153" s="456"/>
    </row>
    <row r="154" spans="2:43" ht="12.75" customHeight="1">
      <c r="B154" s="464" t="s">
        <v>1775</v>
      </c>
      <c r="C154" s="445"/>
      <c r="D154" s="64"/>
      <c r="E154" s="64"/>
      <c r="F154" s="64"/>
      <c r="G154" s="64"/>
      <c r="H154" s="446"/>
      <c r="I154" s="447"/>
      <c r="J154" s="447"/>
      <c r="K154" s="447"/>
      <c r="L154" s="448"/>
      <c r="M154" s="449"/>
      <c r="N154" s="104"/>
      <c r="O154" s="104"/>
      <c r="P154" s="104"/>
      <c r="Q154" s="450"/>
      <c r="R154" s="1310"/>
      <c r="S154" s="1310"/>
      <c r="T154" s="1310"/>
      <c r="U154" s="451"/>
      <c r="V154" s="451"/>
      <c r="W154" s="451"/>
      <c r="X154" s="452"/>
      <c r="Y154" s="447"/>
      <c r="Z154" s="447"/>
      <c r="AA154" s="447"/>
      <c r="AB154" s="447"/>
      <c r="AC154" s="447"/>
      <c r="AD154" s="447"/>
      <c r="AE154" s="447"/>
      <c r="AF154" s="448"/>
      <c r="AG154" s="453"/>
      <c r="AH154" s="454"/>
      <c r="AI154" s="104"/>
      <c r="AJ154" s="455"/>
      <c r="AK154" s="456"/>
    </row>
    <row r="155" spans="2:43" ht="12.75" customHeight="1">
      <c r="B155" s="464" t="s">
        <v>1776</v>
      </c>
      <c r="C155" s="445"/>
      <c r="D155" s="64"/>
      <c r="E155" s="64"/>
      <c r="F155" s="64"/>
      <c r="G155" s="64"/>
      <c r="H155" s="446"/>
      <c r="I155" s="447"/>
      <c r="J155" s="447"/>
      <c r="K155" s="447"/>
      <c r="L155" s="448"/>
      <c r="M155" s="449"/>
      <c r="N155" s="104"/>
      <c r="O155" s="104"/>
      <c r="P155" s="104"/>
      <c r="Q155" s="450"/>
      <c r="R155" s="1310"/>
      <c r="S155" s="1310"/>
      <c r="T155" s="1310"/>
      <c r="U155" s="451"/>
      <c r="V155" s="451"/>
      <c r="W155" s="451"/>
      <c r="X155" s="452"/>
      <c r="Y155" s="447"/>
      <c r="Z155" s="447"/>
      <c r="AA155" s="447"/>
      <c r="AB155" s="447"/>
      <c r="AC155" s="447"/>
      <c r="AD155" s="447"/>
      <c r="AE155" s="447"/>
      <c r="AF155" s="448"/>
      <c r="AG155" s="453"/>
      <c r="AH155" s="454"/>
      <c r="AI155" s="104"/>
      <c r="AJ155" s="455"/>
      <c r="AK155" s="456"/>
    </row>
    <row r="156" spans="2:43" ht="12.75" customHeight="1">
      <c r="B156" s="464" t="s">
        <v>1777</v>
      </c>
      <c r="C156" s="445"/>
      <c r="D156" s="64"/>
      <c r="E156" s="64"/>
      <c r="F156" s="64"/>
      <c r="G156" s="64"/>
      <c r="H156" s="446"/>
      <c r="I156" s="447"/>
      <c r="J156" s="447"/>
      <c r="K156" s="447"/>
      <c r="L156" s="448"/>
      <c r="M156" s="449"/>
      <c r="N156" s="104"/>
      <c r="O156" s="104"/>
      <c r="P156" s="104"/>
      <c r="Q156" s="450"/>
      <c r="R156" s="1310"/>
      <c r="S156" s="1310"/>
      <c r="T156" s="1310"/>
      <c r="U156" s="451"/>
      <c r="V156" s="451"/>
      <c r="W156" s="451"/>
      <c r="X156" s="452"/>
      <c r="Y156" s="447"/>
      <c r="Z156" s="447"/>
      <c r="AA156" s="447"/>
      <c r="AB156" s="447"/>
      <c r="AC156" s="447"/>
      <c r="AD156" s="447"/>
      <c r="AE156" s="447"/>
      <c r="AF156" s="448"/>
      <c r="AG156" s="453"/>
      <c r="AH156" s="454"/>
      <c r="AI156" s="104"/>
      <c r="AJ156" s="455"/>
      <c r="AK156" s="456"/>
    </row>
    <row r="157" spans="2:43" ht="12.75" customHeight="1">
      <c r="B157" s="464" t="s">
        <v>1778</v>
      </c>
      <c r="C157" s="445"/>
      <c r="D157" s="64"/>
      <c r="E157" s="64"/>
      <c r="F157" s="64"/>
      <c r="G157" s="64"/>
      <c r="H157" s="446"/>
      <c r="I157" s="447"/>
      <c r="J157" s="447"/>
      <c r="K157" s="447"/>
      <c r="L157" s="448"/>
      <c r="M157" s="449"/>
      <c r="N157" s="104"/>
      <c r="O157" s="104"/>
      <c r="P157" s="104"/>
      <c r="Q157" s="450"/>
      <c r="R157" s="1310"/>
      <c r="S157" s="1310"/>
      <c r="T157" s="1310"/>
      <c r="U157" s="451"/>
      <c r="V157" s="451"/>
      <c r="W157" s="451"/>
      <c r="X157" s="452"/>
      <c r="Y157" s="447"/>
      <c r="Z157" s="447"/>
      <c r="AA157" s="447"/>
      <c r="AB157" s="447"/>
      <c r="AC157" s="447"/>
      <c r="AD157" s="447"/>
      <c r="AE157" s="447"/>
      <c r="AF157" s="448"/>
      <c r="AG157" s="453"/>
      <c r="AH157" s="454"/>
      <c r="AI157" s="104"/>
      <c r="AJ157" s="455"/>
      <c r="AK157" s="456"/>
    </row>
    <row r="158" spans="2:43" ht="12.75" customHeight="1">
      <c r="B158" s="464" t="s">
        <v>1779</v>
      </c>
      <c r="C158" s="445"/>
      <c r="D158" s="64"/>
      <c r="E158" s="64"/>
      <c r="F158" s="64"/>
      <c r="G158" s="64"/>
      <c r="H158" s="446"/>
      <c r="I158" s="447"/>
      <c r="J158" s="447"/>
      <c r="K158" s="447"/>
      <c r="L158" s="448"/>
      <c r="M158" s="449"/>
      <c r="N158" s="104"/>
      <c r="O158" s="104"/>
      <c r="P158" s="104"/>
      <c r="Q158" s="450"/>
      <c r="R158" s="1310"/>
      <c r="S158" s="1310"/>
      <c r="T158" s="1310"/>
      <c r="U158" s="451"/>
      <c r="V158" s="451"/>
      <c r="W158" s="451"/>
      <c r="X158" s="452"/>
      <c r="Y158" s="447"/>
      <c r="Z158" s="447"/>
      <c r="AA158" s="447"/>
      <c r="AB158" s="447"/>
      <c r="AC158" s="447"/>
      <c r="AD158" s="447"/>
      <c r="AE158" s="447"/>
      <c r="AF158" s="448"/>
      <c r="AG158" s="453"/>
      <c r="AH158" s="454"/>
      <c r="AI158" s="104"/>
      <c r="AJ158" s="455"/>
      <c r="AK158" s="456"/>
    </row>
    <row r="159" spans="2:43" ht="12.75" customHeight="1">
      <c r="B159" s="464" t="s">
        <v>1780</v>
      </c>
      <c r="C159" s="445"/>
      <c r="D159" s="64"/>
      <c r="E159" s="64"/>
      <c r="F159" s="64"/>
      <c r="G159" s="64"/>
      <c r="H159" s="446"/>
      <c r="I159" s="447"/>
      <c r="J159" s="447"/>
      <c r="K159" s="447"/>
      <c r="L159" s="448"/>
      <c r="M159" s="449"/>
      <c r="N159" s="104"/>
      <c r="O159" s="104"/>
      <c r="P159" s="104"/>
      <c r="Q159" s="450"/>
      <c r="R159" s="1310"/>
      <c r="S159" s="1310"/>
      <c r="T159" s="1310"/>
      <c r="U159" s="451"/>
      <c r="V159" s="451"/>
      <c r="W159" s="451"/>
      <c r="X159" s="452"/>
      <c r="Y159" s="447"/>
      <c r="Z159" s="447"/>
      <c r="AA159" s="447"/>
      <c r="AB159" s="447"/>
      <c r="AC159" s="447"/>
      <c r="AD159" s="447"/>
      <c r="AE159" s="447"/>
      <c r="AF159" s="448"/>
      <c r="AG159" s="453"/>
      <c r="AH159" s="454"/>
      <c r="AI159" s="104"/>
      <c r="AJ159" s="455"/>
      <c r="AK159" s="456"/>
    </row>
    <row r="160" spans="2:43" ht="12.75" customHeight="1">
      <c r="B160" s="464" t="s">
        <v>1781</v>
      </c>
      <c r="C160" s="445"/>
      <c r="D160" s="64"/>
      <c r="E160" s="64"/>
      <c r="F160" s="64"/>
      <c r="G160" s="64"/>
      <c r="H160" s="446"/>
      <c r="I160" s="447"/>
      <c r="J160" s="447"/>
      <c r="K160" s="447"/>
      <c r="L160" s="448"/>
      <c r="M160" s="449"/>
      <c r="N160" s="104"/>
      <c r="O160" s="104"/>
      <c r="P160" s="104"/>
      <c r="Q160" s="450"/>
      <c r="R160" s="1310"/>
      <c r="S160" s="1310"/>
      <c r="T160" s="1310"/>
      <c r="U160" s="451"/>
      <c r="V160" s="451"/>
      <c r="W160" s="451"/>
      <c r="X160" s="452"/>
      <c r="Y160" s="447"/>
      <c r="Z160" s="447"/>
      <c r="AA160" s="447"/>
      <c r="AB160" s="447"/>
      <c r="AC160" s="447"/>
      <c r="AD160" s="447"/>
      <c r="AE160" s="447"/>
      <c r="AF160" s="448"/>
      <c r="AG160" s="453"/>
      <c r="AH160" s="454"/>
      <c r="AI160" s="104"/>
      <c r="AJ160" s="455"/>
      <c r="AK160" s="456"/>
    </row>
    <row r="161" spans="2:37" ht="12.75" customHeight="1">
      <c r="B161" s="464" t="s">
        <v>1782</v>
      </c>
      <c r="C161" s="445"/>
      <c r="D161" s="64"/>
      <c r="E161" s="64"/>
      <c r="F161" s="64"/>
      <c r="G161" s="64"/>
      <c r="H161" s="446"/>
      <c r="I161" s="447"/>
      <c r="J161" s="447"/>
      <c r="K161" s="447"/>
      <c r="L161" s="448"/>
      <c r="M161" s="449"/>
      <c r="N161" s="104"/>
      <c r="O161" s="104"/>
      <c r="P161" s="104"/>
      <c r="Q161" s="450"/>
      <c r="R161" s="1310"/>
      <c r="S161" s="1310"/>
      <c r="T161" s="1310"/>
      <c r="U161" s="451"/>
      <c r="V161" s="451"/>
      <c r="W161" s="451"/>
      <c r="X161" s="452"/>
      <c r="Y161" s="447"/>
      <c r="Z161" s="447"/>
      <c r="AA161" s="447"/>
      <c r="AB161" s="447"/>
      <c r="AC161" s="447"/>
      <c r="AD161" s="447"/>
      <c r="AE161" s="447"/>
      <c r="AF161" s="448"/>
      <c r="AG161" s="453"/>
      <c r="AH161" s="454"/>
      <c r="AI161" s="104"/>
      <c r="AJ161" s="455"/>
      <c r="AK161" s="456"/>
    </row>
    <row r="162" spans="2:37" ht="12.75" customHeight="1">
      <c r="B162" s="464" t="s">
        <v>1783</v>
      </c>
      <c r="C162" s="445"/>
      <c r="D162" s="64"/>
      <c r="E162" s="64"/>
      <c r="F162" s="64"/>
      <c r="G162" s="64"/>
      <c r="H162" s="446"/>
      <c r="I162" s="447"/>
      <c r="J162" s="447"/>
      <c r="K162" s="447"/>
      <c r="L162" s="448"/>
      <c r="M162" s="449"/>
      <c r="N162" s="104"/>
      <c r="O162" s="104"/>
      <c r="P162" s="104"/>
      <c r="Q162" s="450"/>
      <c r="R162" s="1310"/>
      <c r="S162" s="1310"/>
      <c r="T162" s="1310"/>
      <c r="U162" s="451"/>
      <c r="V162" s="451"/>
      <c r="W162" s="451"/>
      <c r="X162" s="452"/>
      <c r="Y162" s="447"/>
      <c r="Z162" s="447"/>
      <c r="AA162" s="447"/>
      <c r="AB162" s="447"/>
      <c r="AC162" s="447"/>
      <c r="AD162" s="447"/>
      <c r="AE162" s="447"/>
      <c r="AF162" s="448"/>
      <c r="AG162" s="453"/>
      <c r="AH162" s="454"/>
      <c r="AI162" s="104"/>
      <c r="AJ162" s="455"/>
      <c r="AK162" s="456"/>
    </row>
    <row r="163" spans="2:37" ht="12.75" customHeight="1">
      <c r="B163" s="464" t="s">
        <v>1784</v>
      </c>
      <c r="C163" s="445"/>
      <c r="D163" s="64"/>
      <c r="E163" s="64"/>
      <c r="F163" s="64"/>
      <c r="G163" s="64"/>
      <c r="H163" s="446"/>
      <c r="I163" s="447"/>
      <c r="J163" s="447"/>
      <c r="K163" s="447"/>
      <c r="L163" s="448"/>
      <c r="M163" s="449"/>
      <c r="N163" s="104"/>
      <c r="O163" s="104"/>
      <c r="P163" s="104"/>
      <c r="Q163" s="450"/>
      <c r="R163" s="1310"/>
      <c r="S163" s="1310"/>
      <c r="T163" s="1310"/>
      <c r="U163" s="451"/>
      <c r="V163" s="451"/>
      <c r="W163" s="451"/>
      <c r="X163" s="452"/>
      <c r="Y163" s="447"/>
      <c r="Z163" s="447"/>
      <c r="AA163" s="447"/>
      <c r="AB163" s="447"/>
      <c r="AC163" s="447"/>
      <c r="AD163" s="447"/>
      <c r="AE163" s="447"/>
      <c r="AF163" s="448"/>
      <c r="AG163" s="453"/>
      <c r="AH163" s="454"/>
      <c r="AI163" s="104"/>
      <c r="AJ163" s="455"/>
      <c r="AK163" s="456"/>
    </row>
    <row r="164" spans="2:37" ht="12.75" customHeight="1">
      <c r="B164" s="464" t="s">
        <v>1785</v>
      </c>
      <c r="C164" s="445"/>
      <c r="D164" s="64"/>
      <c r="E164" s="64"/>
      <c r="F164" s="64"/>
      <c r="G164" s="64"/>
      <c r="H164" s="446"/>
      <c r="I164" s="447"/>
      <c r="J164" s="447"/>
      <c r="K164" s="447"/>
      <c r="L164" s="448"/>
      <c r="M164" s="449"/>
      <c r="N164" s="104"/>
      <c r="O164" s="104"/>
      <c r="P164" s="104"/>
      <c r="Q164" s="450"/>
      <c r="R164" s="1310"/>
      <c r="S164" s="1310"/>
      <c r="T164" s="1310"/>
      <c r="U164" s="451"/>
      <c r="V164" s="451"/>
      <c r="W164" s="451"/>
      <c r="X164" s="452"/>
      <c r="Y164" s="447"/>
      <c r="Z164" s="447"/>
      <c r="AA164" s="447"/>
      <c r="AB164" s="447"/>
      <c r="AC164" s="447"/>
      <c r="AD164" s="447"/>
      <c r="AE164" s="447"/>
      <c r="AF164" s="448"/>
      <c r="AG164" s="453"/>
      <c r="AH164" s="454"/>
      <c r="AI164" s="104"/>
      <c r="AJ164" s="455"/>
      <c r="AK164" s="456"/>
    </row>
    <row r="165" spans="2:37" ht="12.75" customHeight="1">
      <c r="B165" s="464" t="s">
        <v>1786</v>
      </c>
      <c r="C165" s="445"/>
      <c r="D165" s="64"/>
      <c r="E165" s="64"/>
      <c r="F165" s="64"/>
      <c r="G165" s="64"/>
      <c r="H165" s="446"/>
      <c r="I165" s="447"/>
      <c r="J165" s="447"/>
      <c r="K165" s="447"/>
      <c r="L165" s="448"/>
      <c r="M165" s="449"/>
      <c r="N165" s="104"/>
      <c r="O165" s="104"/>
      <c r="P165" s="104"/>
      <c r="Q165" s="450"/>
      <c r="R165" s="1310"/>
      <c r="S165" s="1310"/>
      <c r="T165" s="1310"/>
      <c r="U165" s="451"/>
      <c r="V165" s="451"/>
      <c r="W165" s="451"/>
      <c r="X165" s="452"/>
      <c r="Y165" s="447"/>
      <c r="Z165" s="447"/>
      <c r="AA165" s="447"/>
      <c r="AB165" s="447"/>
      <c r="AC165" s="447"/>
      <c r="AD165" s="447"/>
      <c r="AE165" s="447"/>
      <c r="AF165" s="448"/>
      <c r="AG165" s="453"/>
      <c r="AH165" s="454"/>
      <c r="AI165" s="104"/>
      <c r="AJ165" s="455"/>
      <c r="AK165" s="456"/>
    </row>
    <row r="166" spans="2:37" ht="12.75" customHeight="1">
      <c r="B166" s="464" t="s">
        <v>1787</v>
      </c>
      <c r="C166" s="445"/>
      <c r="D166" s="64"/>
      <c r="E166" s="64"/>
      <c r="F166" s="64"/>
      <c r="G166" s="64"/>
      <c r="H166" s="446"/>
      <c r="I166" s="447"/>
      <c r="J166" s="447"/>
      <c r="K166" s="447"/>
      <c r="L166" s="448"/>
      <c r="M166" s="449"/>
      <c r="N166" s="104"/>
      <c r="O166" s="104"/>
      <c r="P166" s="104"/>
      <c r="Q166" s="450"/>
      <c r="R166" s="1310"/>
      <c r="S166" s="1310"/>
      <c r="T166" s="1310"/>
      <c r="U166" s="451"/>
      <c r="V166" s="451"/>
      <c r="W166" s="451"/>
      <c r="X166" s="452"/>
      <c r="Y166" s="447"/>
      <c r="Z166" s="447"/>
      <c r="AA166" s="447"/>
      <c r="AB166" s="447"/>
      <c r="AC166" s="447"/>
      <c r="AD166" s="447"/>
      <c r="AE166" s="447"/>
      <c r="AF166" s="448"/>
      <c r="AG166" s="453"/>
      <c r="AH166" s="454"/>
      <c r="AI166" s="104"/>
      <c r="AJ166" s="455"/>
      <c r="AK166" s="456"/>
    </row>
    <row r="167" spans="2:37" ht="12.75" customHeight="1">
      <c r="B167" s="464" t="s">
        <v>1788</v>
      </c>
      <c r="C167" s="445"/>
      <c r="D167" s="64"/>
      <c r="E167" s="64"/>
      <c r="F167" s="64"/>
      <c r="G167" s="64"/>
      <c r="H167" s="446"/>
      <c r="I167" s="447"/>
      <c r="J167" s="447"/>
      <c r="K167" s="447"/>
      <c r="L167" s="448"/>
      <c r="M167" s="449"/>
      <c r="N167" s="104"/>
      <c r="O167" s="104"/>
      <c r="P167" s="104"/>
      <c r="Q167" s="450"/>
      <c r="R167" s="1310"/>
      <c r="S167" s="1310"/>
      <c r="T167" s="1310"/>
      <c r="U167" s="451"/>
      <c r="V167" s="451"/>
      <c r="W167" s="451"/>
      <c r="X167" s="452"/>
      <c r="Y167" s="447"/>
      <c r="Z167" s="447"/>
      <c r="AA167" s="447"/>
      <c r="AB167" s="447"/>
      <c r="AC167" s="447"/>
      <c r="AD167" s="447"/>
      <c r="AE167" s="447"/>
      <c r="AF167" s="448"/>
      <c r="AG167" s="453"/>
      <c r="AH167" s="454"/>
      <c r="AI167" s="104"/>
      <c r="AJ167" s="455"/>
      <c r="AK167" s="456"/>
    </row>
    <row r="168" spans="2:37" ht="12.75" customHeight="1">
      <c r="B168" s="464" t="s">
        <v>1789</v>
      </c>
      <c r="C168" s="445"/>
      <c r="D168" s="64"/>
      <c r="E168" s="64"/>
      <c r="F168" s="64"/>
      <c r="G168" s="64"/>
      <c r="H168" s="446"/>
      <c r="I168" s="447"/>
      <c r="J168" s="447"/>
      <c r="K168" s="447"/>
      <c r="L168" s="448"/>
      <c r="M168" s="449"/>
      <c r="N168" s="104"/>
      <c r="O168" s="104"/>
      <c r="P168" s="104"/>
      <c r="Q168" s="450"/>
      <c r="R168" s="1310"/>
      <c r="S168" s="1310"/>
      <c r="T168" s="1310"/>
      <c r="U168" s="451"/>
      <c r="V168" s="451"/>
      <c r="W168" s="451"/>
      <c r="X168" s="452"/>
      <c r="Y168" s="447"/>
      <c r="Z168" s="447"/>
      <c r="AA168" s="447"/>
      <c r="AB168" s="447"/>
      <c r="AC168" s="447"/>
      <c r="AD168" s="447"/>
      <c r="AE168" s="447"/>
      <c r="AF168" s="448"/>
      <c r="AG168" s="453"/>
      <c r="AH168" s="454"/>
      <c r="AI168" s="104"/>
      <c r="AJ168" s="455"/>
      <c r="AK168" s="456"/>
    </row>
    <row r="169" spans="2:37" ht="12.75" customHeight="1">
      <c r="B169" s="464" t="s">
        <v>1790</v>
      </c>
      <c r="C169" s="445"/>
      <c r="D169" s="64"/>
      <c r="E169" s="64"/>
      <c r="F169" s="64"/>
      <c r="G169" s="64"/>
      <c r="H169" s="446"/>
      <c r="I169" s="447"/>
      <c r="J169" s="447"/>
      <c r="K169" s="447"/>
      <c r="L169" s="448"/>
      <c r="M169" s="449"/>
      <c r="N169" s="104"/>
      <c r="O169" s="104"/>
      <c r="P169" s="104"/>
      <c r="Q169" s="450"/>
      <c r="R169" s="1310"/>
      <c r="S169" s="1310"/>
      <c r="T169" s="1310"/>
      <c r="U169" s="451"/>
      <c r="V169" s="451"/>
      <c r="W169" s="451"/>
      <c r="X169" s="452"/>
      <c r="Y169" s="447"/>
      <c r="Z169" s="447"/>
      <c r="AA169" s="447"/>
      <c r="AB169" s="447"/>
      <c r="AC169" s="447"/>
      <c r="AD169" s="447"/>
      <c r="AE169" s="447"/>
      <c r="AF169" s="448"/>
      <c r="AG169" s="453"/>
      <c r="AH169" s="454"/>
      <c r="AI169" s="104"/>
      <c r="AJ169" s="455"/>
      <c r="AK169" s="456"/>
    </row>
    <row r="170" spans="2:37" ht="12.75" customHeight="1">
      <c r="B170" s="464" t="s">
        <v>1791</v>
      </c>
      <c r="C170" s="445"/>
      <c r="D170" s="64"/>
      <c r="E170" s="64"/>
      <c r="F170" s="64"/>
      <c r="G170" s="64"/>
      <c r="H170" s="446"/>
      <c r="I170" s="447"/>
      <c r="J170" s="447"/>
      <c r="K170" s="447"/>
      <c r="L170" s="448"/>
      <c r="M170" s="449"/>
      <c r="N170" s="104"/>
      <c r="O170" s="104"/>
      <c r="P170" s="104"/>
      <c r="Q170" s="450"/>
      <c r="R170" s="1310"/>
      <c r="S170" s="1310"/>
      <c r="T170" s="1310"/>
      <c r="U170" s="451"/>
      <c r="V170" s="451"/>
      <c r="W170" s="451"/>
      <c r="X170" s="452"/>
      <c r="Y170" s="447"/>
      <c r="Z170" s="447"/>
      <c r="AA170" s="447"/>
      <c r="AB170" s="447"/>
      <c r="AC170" s="447"/>
      <c r="AD170" s="447"/>
      <c r="AE170" s="447"/>
      <c r="AF170" s="448"/>
      <c r="AG170" s="453"/>
      <c r="AH170" s="454"/>
      <c r="AI170" s="104"/>
      <c r="AJ170" s="455"/>
      <c r="AK170" s="456"/>
    </row>
    <row r="171" spans="2:37" ht="12.75" customHeight="1">
      <c r="B171" s="464" t="s">
        <v>1792</v>
      </c>
      <c r="C171" s="445"/>
      <c r="D171" s="64"/>
      <c r="E171" s="64"/>
      <c r="F171" s="64"/>
      <c r="G171" s="64"/>
      <c r="H171" s="446"/>
      <c r="I171" s="447"/>
      <c r="J171" s="447"/>
      <c r="K171" s="447"/>
      <c r="L171" s="448"/>
      <c r="M171" s="449"/>
      <c r="N171" s="104"/>
      <c r="O171" s="104"/>
      <c r="P171" s="104"/>
      <c r="Q171" s="450"/>
      <c r="R171" s="1310"/>
      <c r="S171" s="1310"/>
      <c r="T171" s="1310"/>
      <c r="U171" s="451"/>
      <c r="V171" s="451"/>
      <c r="W171" s="451"/>
      <c r="X171" s="452"/>
      <c r="Y171" s="447"/>
      <c r="Z171" s="447"/>
      <c r="AA171" s="447"/>
      <c r="AB171" s="447"/>
      <c r="AC171" s="447"/>
      <c r="AD171" s="447"/>
      <c r="AE171" s="447"/>
      <c r="AF171" s="448"/>
      <c r="AG171" s="453"/>
      <c r="AH171" s="454"/>
      <c r="AI171" s="104"/>
      <c r="AJ171" s="455"/>
      <c r="AK171" s="456"/>
    </row>
    <row r="172" spans="2:37" ht="12.75" customHeight="1">
      <c r="B172" s="464" t="s">
        <v>1793</v>
      </c>
      <c r="C172" s="445"/>
      <c r="D172" s="64"/>
      <c r="E172" s="64"/>
      <c r="F172" s="64"/>
      <c r="G172" s="64"/>
      <c r="H172" s="446"/>
      <c r="I172" s="447"/>
      <c r="J172" s="447"/>
      <c r="K172" s="447"/>
      <c r="L172" s="448"/>
      <c r="M172" s="449"/>
      <c r="N172" s="104"/>
      <c r="O172" s="104"/>
      <c r="P172" s="104"/>
      <c r="Q172" s="450"/>
      <c r="R172" s="1310"/>
      <c r="S172" s="1310"/>
      <c r="T172" s="1310"/>
      <c r="U172" s="451"/>
      <c r="V172" s="451"/>
      <c r="W172" s="451"/>
      <c r="X172" s="452"/>
      <c r="Y172" s="447"/>
      <c r="Z172" s="447"/>
      <c r="AA172" s="447"/>
      <c r="AB172" s="447"/>
      <c r="AC172" s="447"/>
      <c r="AD172" s="447"/>
      <c r="AE172" s="447"/>
      <c r="AF172" s="448"/>
      <c r="AG172" s="453"/>
      <c r="AH172" s="454"/>
      <c r="AI172" s="104"/>
      <c r="AJ172" s="455"/>
      <c r="AK172" s="456"/>
    </row>
    <row r="173" spans="2:37" ht="12.75" customHeight="1">
      <c r="B173" s="464" t="s">
        <v>1794</v>
      </c>
      <c r="C173" s="445"/>
      <c r="D173" s="64"/>
      <c r="E173" s="64"/>
      <c r="F173" s="64"/>
      <c r="G173" s="64"/>
      <c r="H173" s="446"/>
      <c r="I173" s="447"/>
      <c r="J173" s="447"/>
      <c r="K173" s="447"/>
      <c r="L173" s="448"/>
      <c r="M173" s="449"/>
      <c r="N173" s="104"/>
      <c r="O173" s="104"/>
      <c r="P173" s="104"/>
      <c r="Q173" s="450"/>
      <c r="R173" s="1310"/>
      <c r="S173" s="1310"/>
      <c r="T173" s="1310"/>
      <c r="U173" s="451"/>
      <c r="V173" s="451"/>
      <c r="W173" s="451"/>
      <c r="X173" s="452"/>
      <c r="Y173" s="447"/>
      <c r="Z173" s="447"/>
      <c r="AA173" s="447"/>
      <c r="AB173" s="447"/>
      <c r="AC173" s="447"/>
      <c r="AD173" s="447"/>
      <c r="AE173" s="447"/>
      <c r="AF173" s="448"/>
      <c r="AG173" s="453"/>
      <c r="AH173" s="454"/>
      <c r="AI173" s="104"/>
      <c r="AJ173" s="455"/>
      <c r="AK173" s="456"/>
    </row>
    <row r="174" spans="2:37" ht="12.75" customHeight="1">
      <c r="B174" s="464" t="s">
        <v>1795</v>
      </c>
      <c r="C174" s="445"/>
      <c r="D174" s="64"/>
      <c r="E174" s="64"/>
      <c r="F174" s="64"/>
      <c r="G174" s="64"/>
      <c r="H174" s="446"/>
      <c r="I174" s="447"/>
      <c r="J174" s="447"/>
      <c r="K174" s="447"/>
      <c r="L174" s="448"/>
      <c r="M174" s="449"/>
      <c r="N174" s="104"/>
      <c r="O174" s="104"/>
      <c r="P174" s="104"/>
      <c r="Q174" s="450"/>
      <c r="R174" s="1310"/>
      <c r="S174" s="1310"/>
      <c r="T174" s="1310"/>
      <c r="U174" s="451"/>
      <c r="V174" s="451"/>
      <c r="W174" s="451"/>
      <c r="X174" s="452"/>
      <c r="Y174" s="447"/>
      <c r="Z174" s="447"/>
      <c r="AA174" s="447"/>
      <c r="AB174" s="447"/>
      <c r="AC174" s="447"/>
      <c r="AD174" s="447"/>
      <c r="AE174" s="447"/>
      <c r="AF174" s="448"/>
      <c r="AG174" s="453"/>
      <c r="AH174" s="454"/>
      <c r="AI174" s="104"/>
      <c r="AJ174" s="455"/>
      <c r="AK174" s="456"/>
    </row>
    <row r="175" spans="2:37" ht="12.75" customHeight="1">
      <c r="B175" s="464" t="s">
        <v>1796</v>
      </c>
      <c r="C175" s="445"/>
      <c r="D175" s="64"/>
      <c r="E175" s="64"/>
      <c r="F175" s="64"/>
      <c r="G175" s="64"/>
      <c r="H175" s="446"/>
      <c r="I175" s="447"/>
      <c r="J175" s="447"/>
      <c r="K175" s="447"/>
      <c r="L175" s="448"/>
      <c r="M175" s="449"/>
      <c r="N175" s="104"/>
      <c r="O175" s="104"/>
      <c r="P175" s="104"/>
      <c r="Q175" s="450"/>
      <c r="R175" s="1310"/>
      <c r="S175" s="1310"/>
      <c r="T175" s="1310"/>
      <c r="U175" s="451"/>
      <c r="V175" s="451"/>
      <c r="W175" s="451"/>
      <c r="X175" s="452"/>
      <c r="Y175" s="447"/>
      <c r="Z175" s="447"/>
      <c r="AA175" s="447"/>
      <c r="AB175" s="447"/>
      <c r="AC175" s="447"/>
      <c r="AD175" s="447"/>
      <c r="AE175" s="447"/>
      <c r="AF175" s="448"/>
      <c r="AG175" s="453"/>
      <c r="AH175" s="454"/>
      <c r="AI175" s="104"/>
      <c r="AJ175" s="455"/>
      <c r="AK175" s="456"/>
    </row>
    <row r="176" spans="2:37" ht="12.75" customHeight="1">
      <c r="B176" s="464" t="s">
        <v>1797</v>
      </c>
      <c r="C176" s="445"/>
      <c r="D176" s="64"/>
      <c r="E176" s="64"/>
      <c r="F176" s="64"/>
      <c r="G176" s="64"/>
      <c r="H176" s="446"/>
      <c r="I176" s="447"/>
      <c r="J176" s="447"/>
      <c r="K176" s="447"/>
      <c r="L176" s="448"/>
      <c r="M176" s="449"/>
      <c r="N176" s="104"/>
      <c r="O176" s="104"/>
      <c r="P176" s="104"/>
      <c r="Q176" s="450"/>
      <c r="R176" s="1310"/>
      <c r="S176" s="1310"/>
      <c r="T176" s="1310"/>
      <c r="U176" s="451"/>
      <c r="V176" s="451"/>
      <c r="W176" s="451"/>
      <c r="X176" s="452"/>
      <c r="Y176" s="447"/>
      <c r="Z176" s="447"/>
      <c r="AA176" s="447"/>
      <c r="AB176" s="447"/>
      <c r="AC176" s="447"/>
      <c r="AD176" s="447"/>
      <c r="AE176" s="447"/>
      <c r="AF176" s="448"/>
      <c r="AG176" s="453"/>
      <c r="AH176" s="454"/>
      <c r="AI176" s="104"/>
      <c r="AJ176" s="455"/>
      <c r="AK176" s="456"/>
    </row>
    <row r="177" spans="2:37" ht="12.75" customHeight="1">
      <c r="B177" s="464" t="s">
        <v>1798</v>
      </c>
      <c r="C177" s="445"/>
      <c r="D177" s="64"/>
      <c r="E177" s="64"/>
      <c r="F177" s="64"/>
      <c r="G177" s="64"/>
      <c r="H177" s="446"/>
      <c r="I177" s="447"/>
      <c r="J177" s="447"/>
      <c r="K177" s="447"/>
      <c r="L177" s="448"/>
      <c r="M177" s="449"/>
      <c r="N177" s="104"/>
      <c r="O177" s="104"/>
      <c r="P177" s="104"/>
      <c r="Q177" s="450"/>
      <c r="R177" s="1310"/>
      <c r="S177" s="1310"/>
      <c r="T177" s="1310"/>
      <c r="U177" s="451"/>
      <c r="V177" s="451"/>
      <c r="W177" s="451"/>
      <c r="X177" s="452"/>
      <c r="Y177" s="447"/>
      <c r="Z177" s="447"/>
      <c r="AA177" s="447"/>
      <c r="AB177" s="447"/>
      <c r="AC177" s="447"/>
      <c r="AD177" s="447"/>
      <c r="AE177" s="447"/>
      <c r="AF177" s="448"/>
      <c r="AG177" s="453"/>
      <c r="AH177" s="454"/>
      <c r="AI177" s="104"/>
      <c r="AJ177" s="455"/>
      <c r="AK177" s="456"/>
    </row>
    <row r="178" spans="2:37" ht="12.75" customHeight="1">
      <c r="B178" s="464" t="s">
        <v>1799</v>
      </c>
      <c r="C178" s="445"/>
      <c r="D178" s="64"/>
      <c r="E178" s="64"/>
      <c r="F178" s="64"/>
      <c r="G178" s="64"/>
      <c r="H178" s="446"/>
      <c r="I178" s="447"/>
      <c r="J178" s="447"/>
      <c r="K178" s="447"/>
      <c r="L178" s="448"/>
      <c r="M178" s="449"/>
      <c r="N178" s="104"/>
      <c r="O178" s="104"/>
      <c r="P178" s="104"/>
      <c r="Q178" s="450"/>
      <c r="R178" s="1310"/>
      <c r="S178" s="1310"/>
      <c r="T178" s="1310"/>
      <c r="U178" s="451"/>
      <c r="V178" s="451"/>
      <c r="W178" s="451"/>
      <c r="X178" s="452"/>
      <c r="Y178" s="447"/>
      <c r="Z178" s="447"/>
      <c r="AA178" s="447"/>
      <c r="AB178" s="447"/>
      <c r="AC178" s="447"/>
      <c r="AD178" s="447"/>
      <c r="AE178" s="447"/>
      <c r="AF178" s="448"/>
      <c r="AG178" s="453"/>
      <c r="AH178" s="454"/>
      <c r="AI178" s="104"/>
      <c r="AJ178" s="455"/>
      <c r="AK178" s="456"/>
    </row>
    <row r="179" spans="2:37" ht="12.75" customHeight="1">
      <c r="B179" s="464" t="s">
        <v>1800</v>
      </c>
      <c r="C179" s="445"/>
      <c r="D179" s="64"/>
      <c r="E179" s="64"/>
      <c r="F179" s="64"/>
      <c r="G179" s="64"/>
      <c r="H179" s="446"/>
      <c r="I179" s="447"/>
      <c r="J179" s="447"/>
      <c r="K179" s="447"/>
      <c r="L179" s="448"/>
      <c r="M179" s="449"/>
      <c r="N179" s="104"/>
      <c r="O179" s="104"/>
      <c r="P179" s="104"/>
      <c r="Q179" s="450"/>
      <c r="R179" s="1310"/>
      <c r="S179" s="1310"/>
      <c r="T179" s="1310"/>
      <c r="U179" s="451"/>
      <c r="V179" s="451"/>
      <c r="W179" s="451"/>
      <c r="X179" s="452"/>
      <c r="Y179" s="447"/>
      <c r="Z179" s="447"/>
      <c r="AA179" s="447"/>
      <c r="AB179" s="447"/>
      <c r="AC179" s="447"/>
      <c r="AD179" s="447"/>
      <c r="AE179" s="447"/>
      <c r="AF179" s="448"/>
      <c r="AG179" s="453"/>
      <c r="AH179" s="454"/>
      <c r="AI179" s="104"/>
      <c r="AJ179" s="455"/>
      <c r="AK179" s="456"/>
    </row>
    <row r="180" spans="2:37" ht="12.75" customHeight="1">
      <c r="B180" s="464" t="s">
        <v>1801</v>
      </c>
      <c r="C180" s="445"/>
      <c r="D180" s="64"/>
      <c r="E180" s="64"/>
      <c r="F180" s="64"/>
      <c r="G180" s="64"/>
      <c r="H180" s="446"/>
      <c r="I180" s="447"/>
      <c r="J180" s="447"/>
      <c r="K180" s="447"/>
      <c r="L180" s="448"/>
      <c r="M180" s="449"/>
      <c r="N180" s="104"/>
      <c r="O180" s="104"/>
      <c r="P180" s="104"/>
      <c r="Q180" s="450"/>
      <c r="R180" s="1310"/>
      <c r="S180" s="1310"/>
      <c r="T180" s="1310"/>
      <c r="U180" s="451"/>
      <c r="V180" s="451"/>
      <c r="W180" s="451"/>
      <c r="X180" s="452"/>
      <c r="Y180" s="447"/>
      <c r="Z180" s="447"/>
      <c r="AA180" s="447"/>
      <c r="AB180" s="447"/>
      <c r="AC180" s="447"/>
      <c r="AD180" s="447"/>
      <c r="AE180" s="447"/>
      <c r="AF180" s="448"/>
      <c r="AG180" s="453"/>
      <c r="AH180" s="454"/>
      <c r="AI180" s="104"/>
      <c r="AJ180" s="455"/>
      <c r="AK180" s="456"/>
    </row>
    <row r="181" spans="2:37" ht="12.75" customHeight="1">
      <c r="B181" s="464" t="s">
        <v>1802</v>
      </c>
      <c r="C181" s="445"/>
      <c r="D181" s="64"/>
      <c r="E181" s="64"/>
      <c r="F181" s="64"/>
      <c r="G181" s="64"/>
      <c r="H181" s="446"/>
      <c r="I181" s="447"/>
      <c r="J181" s="447"/>
      <c r="K181" s="447"/>
      <c r="L181" s="448"/>
      <c r="M181" s="449"/>
      <c r="N181" s="104"/>
      <c r="O181" s="104"/>
      <c r="P181" s="104"/>
      <c r="Q181" s="450"/>
      <c r="R181" s="1310"/>
      <c r="S181" s="1310"/>
      <c r="T181" s="1310"/>
      <c r="U181" s="451"/>
      <c r="V181" s="451"/>
      <c r="W181" s="451"/>
      <c r="X181" s="452"/>
      <c r="Y181" s="447"/>
      <c r="Z181" s="447"/>
      <c r="AA181" s="447"/>
      <c r="AB181" s="447"/>
      <c r="AC181" s="447"/>
      <c r="AD181" s="447"/>
      <c r="AE181" s="447"/>
      <c r="AF181" s="448"/>
      <c r="AG181" s="453"/>
      <c r="AH181" s="454"/>
      <c r="AI181" s="104"/>
      <c r="AJ181" s="455"/>
      <c r="AK181" s="456"/>
    </row>
    <row r="182" spans="2:37" ht="12.75" customHeight="1">
      <c r="B182" s="464" t="s">
        <v>1803</v>
      </c>
      <c r="C182" s="445"/>
      <c r="D182" s="64"/>
      <c r="E182" s="64"/>
      <c r="F182" s="64"/>
      <c r="G182" s="64"/>
      <c r="H182" s="446"/>
      <c r="I182" s="447"/>
      <c r="J182" s="447"/>
      <c r="K182" s="447"/>
      <c r="L182" s="448"/>
      <c r="M182" s="449"/>
      <c r="N182" s="104"/>
      <c r="O182" s="104"/>
      <c r="P182" s="104"/>
      <c r="Q182" s="450"/>
      <c r="R182" s="1310"/>
      <c r="S182" s="1310"/>
      <c r="T182" s="1310"/>
      <c r="U182" s="451"/>
      <c r="V182" s="451"/>
      <c r="W182" s="451"/>
      <c r="X182" s="452"/>
      <c r="Y182" s="447"/>
      <c r="Z182" s="447"/>
      <c r="AA182" s="447"/>
      <c r="AB182" s="447"/>
      <c r="AC182" s="447"/>
      <c r="AD182" s="447"/>
      <c r="AE182" s="447"/>
      <c r="AF182" s="448"/>
      <c r="AG182" s="453"/>
      <c r="AH182" s="454"/>
      <c r="AI182" s="104"/>
      <c r="AJ182" s="455"/>
      <c r="AK182" s="456"/>
    </row>
    <row r="183" spans="2:37" ht="12.75" customHeight="1">
      <c r="B183" s="464" t="s">
        <v>1804</v>
      </c>
      <c r="C183" s="445"/>
      <c r="D183" s="64"/>
      <c r="E183" s="64"/>
      <c r="F183" s="64"/>
      <c r="G183" s="64"/>
      <c r="H183" s="446"/>
      <c r="I183" s="447"/>
      <c r="J183" s="447"/>
      <c r="K183" s="447"/>
      <c r="L183" s="448"/>
      <c r="M183" s="449"/>
      <c r="N183" s="104"/>
      <c r="O183" s="104"/>
      <c r="P183" s="104"/>
      <c r="Q183" s="450"/>
      <c r="R183" s="1310"/>
      <c r="S183" s="1310"/>
      <c r="T183" s="1310"/>
      <c r="U183" s="451"/>
      <c r="V183" s="451"/>
      <c r="W183" s="451"/>
      <c r="X183" s="452"/>
      <c r="Y183" s="447"/>
      <c r="Z183" s="447"/>
      <c r="AA183" s="447"/>
      <c r="AB183" s="447"/>
      <c r="AC183" s="447"/>
      <c r="AD183" s="447"/>
      <c r="AE183" s="447"/>
      <c r="AF183" s="448"/>
      <c r="AG183" s="453"/>
      <c r="AH183" s="454"/>
      <c r="AI183" s="104"/>
      <c r="AJ183" s="455"/>
      <c r="AK183" s="456"/>
    </row>
    <row r="184" spans="2:37" ht="12.75" customHeight="1">
      <c r="B184" s="464" t="s">
        <v>1805</v>
      </c>
      <c r="C184" s="445"/>
      <c r="D184" s="64"/>
      <c r="E184" s="64"/>
      <c r="F184" s="64"/>
      <c r="G184" s="64"/>
      <c r="H184" s="446"/>
      <c r="I184" s="447"/>
      <c r="J184" s="447"/>
      <c r="K184" s="447"/>
      <c r="L184" s="448"/>
      <c r="M184" s="449"/>
      <c r="N184" s="104"/>
      <c r="O184" s="104"/>
      <c r="P184" s="104"/>
      <c r="Q184" s="450"/>
      <c r="R184" s="1310"/>
      <c r="S184" s="1310"/>
      <c r="T184" s="1310"/>
      <c r="U184" s="451"/>
      <c r="V184" s="451"/>
      <c r="W184" s="451"/>
      <c r="X184" s="452"/>
      <c r="Y184" s="447"/>
      <c r="Z184" s="447"/>
      <c r="AA184" s="447"/>
      <c r="AB184" s="447"/>
      <c r="AC184" s="447"/>
      <c r="AD184" s="447"/>
      <c r="AE184" s="447"/>
      <c r="AF184" s="448"/>
      <c r="AG184" s="453"/>
      <c r="AH184" s="454"/>
      <c r="AI184" s="104"/>
      <c r="AJ184" s="455"/>
      <c r="AK184" s="456"/>
    </row>
    <row r="185" spans="2:37" ht="12.75" customHeight="1">
      <c r="B185" s="464" t="s">
        <v>1806</v>
      </c>
      <c r="C185" s="445"/>
      <c r="D185" s="64"/>
      <c r="E185" s="64"/>
      <c r="F185" s="64"/>
      <c r="G185" s="64"/>
      <c r="H185" s="446"/>
      <c r="I185" s="447"/>
      <c r="J185" s="447"/>
      <c r="K185" s="447"/>
      <c r="L185" s="448"/>
      <c r="M185" s="449"/>
      <c r="N185" s="104"/>
      <c r="O185" s="104"/>
      <c r="P185" s="104"/>
      <c r="Q185" s="450"/>
      <c r="R185" s="1310"/>
      <c r="S185" s="1310"/>
      <c r="T185" s="1310"/>
      <c r="U185" s="451"/>
      <c r="V185" s="451"/>
      <c r="W185" s="451"/>
      <c r="X185" s="452"/>
      <c r="Y185" s="447"/>
      <c r="Z185" s="447"/>
      <c r="AA185" s="447"/>
      <c r="AB185" s="447"/>
      <c r="AC185" s="447"/>
      <c r="AD185" s="447"/>
      <c r="AE185" s="447"/>
      <c r="AF185" s="448"/>
      <c r="AG185" s="453"/>
      <c r="AH185" s="454"/>
      <c r="AI185" s="104"/>
      <c r="AJ185" s="455"/>
      <c r="AK185" s="456"/>
    </row>
    <row r="186" spans="2:37" ht="12.75" customHeight="1">
      <c r="B186" s="464" t="s">
        <v>1807</v>
      </c>
      <c r="C186" s="445"/>
      <c r="D186" s="64"/>
      <c r="E186" s="64"/>
      <c r="F186" s="64"/>
      <c r="G186" s="64"/>
      <c r="H186" s="446"/>
      <c r="I186" s="447"/>
      <c r="J186" s="447"/>
      <c r="K186" s="447"/>
      <c r="L186" s="448"/>
      <c r="M186" s="449"/>
      <c r="N186" s="104"/>
      <c r="O186" s="104"/>
      <c r="P186" s="104"/>
      <c r="Q186" s="450"/>
      <c r="R186" s="1310"/>
      <c r="S186" s="1310"/>
      <c r="T186" s="1310"/>
      <c r="U186" s="451"/>
      <c r="V186" s="451"/>
      <c r="W186" s="451"/>
      <c r="X186" s="452"/>
      <c r="Y186" s="447"/>
      <c r="Z186" s="447"/>
      <c r="AA186" s="447"/>
      <c r="AB186" s="447"/>
      <c r="AC186" s="447"/>
      <c r="AD186" s="447"/>
      <c r="AE186" s="447"/>
      <c r="AF186" s="448"/>
      <c r="AG186" s="453"/>
      <c r="AH186" s="454"/>
      <c r="AI186" s="104"/>
      <c r="AJ186" s="455"/>
      <c r="AK186" s="456"/>
    </row>
    <row r="187" spans="2:37" ht="12.75" customHeight="1">
      <c r="B187" s="464" t="s">
        <v>1808</v>
      </c>
      <c r="C187" s="445"/>
      <c r="D187" s="64"/>
      <c r="E187" s="64"/>
      <c r="F187" s="64"/>
      <c r="G187" s="64"/>
      <c r="H187" s="446"/>
      <c r="I187" s="447"/>
      <c r="J187" s="447"/>
      <c r="K187" s="447"/>
      <c r="L187" s="448"/>
      <c r="M187" s="449"/>
      <c r="N187" s="104"/>
      <c r="O187" s="104"/>
      <c r="P187" s="104"/>
      <c r="Q187" s="450"/>
      <c r="R187" s="1310"/>
      <c r="S187" s="1310"/>
      <c r="T187" s="1310"/>
      <c r="U187" s="451"/>
      <c r="V187" s="451"/>
      <c r="W187" s="451"/>
      <c r="X187" s="452"/>
      <c r="Y187" s="447"/>
      <c r="Z187" s="447"/>
      <c r="AA187" s="447"/>
      <c r="AB187" s="447"/>
      <c r="AC187" s="447"/>
      <c r="AD187" s="447"/>
      <c r="AE187" s="447"/>
      <c r="AF187" s="448"/>
      <c r="AG187" s="453"/>
      <c r="AH187" s="454"/>
      <c r="AI187" s="104"/>
      <c r="AJ187" s="455"/>
      <c r="AK187" s="456"/>
    </row>
    <row r="188" spans="2:37" ht="12.75" customHeight="1">
      <c r="B188" s="464" t="s">
        <v>1809</v>
      </c>
      <c r="C188" s="445"/>
      <c r="D188" s="64"/>
      <c r="E188" s="64"/>
      <c r="F188" s="64"/>
      <c r="G188" s="64"/>
      <c r="H188" s="446"/>
      <c r="I188" s="447"/>
      <c r="J188" s="447"/>
      <c r="K188" s="447"/>
      <c r="L188" s="448"/>
      <c r="M188" s="449"/>
      <c r="N188" s="104"/>
      <c r="O188" s="104"/>
      <c r="P188" s="104"/>
      <c r="Q188" s="450"/>
      <c r="R188" s="1310"/>
      <c r="S188" s="1310"/>
      <c r="T188" s="1310"/>
      <c r="U188" s="451"/>
      <c r="V188" s="451"/>
      <c r="W188" s="451"/>
      <c r="X188" s="452"/>
      <c r="Y188" s="447"/>
      <c r="Z188" s="447"/>
      <c r="AA188" s="447"/>
      <c r="AB188" s="447"/>
      <c r="AC188" s="447"/>
      <c r="AD188" s="447"/>
      <c r="AE188" s="447"/>
      <c r="AF188" s="448"/>
      <c r="AG188" s="453"/>
      <c r="AH188" s="454"/>
      <c r="AI188" s="104"/>
      <c r="AJ188" s="455"/>
      <c r="AK188" s="456"/>
    </row>
    <row r="189" spans="2:37" ht="12.75" customHeight="1">
      <c r="B189" s="464" t="s">
        <v>1810</v>
      </c>
      <c r="C189" s="445"/>
      <c r="D189" s="64"/>
      <c r="E189" s="64"/>
      <c r="F189" s="64"/>
      <c r="G189" s="64"/>
      <c r="H189" s="446"/>
      <c r="I189" s="447"/>
      <c r="J189" s="447"/>
      <c r="K189" s="447"/>
      <c r="L189" s="448"/>
      <c r="M189" s="449"/>
      <c r="N189" s="104"/>
      <c r="O189" s="104"/>
      <c r="P189" s="104"/>
      <c r="Q189" s="450"/>
      <c r="R189" s="1310"/>
      <c r="S189" s="1310"/>
      <c r="T189" s="1310"/>
      <c r="U189" s="451"/>
      <c r="V189" s="451"/>
      <c r="W189" s="451"/>
      <c r="X189" s="452"/>
      <c r="Y189" s="447"/>
      <c r="Z189" s="447"/>
      <c r="AA189" s="447"/>
      <c r="AB189" s="447"/>
      <c r="AC189" s="447"/>
      <c r="AD189" s="447"/>
      <c r="AE189" s="447"/>
      <c r="AF189" s="448"/>
      <c r="AG189" s="453"/>
      <c r="AH189" s="454"/>
      <c r="AI189" s="104"/>
      <c r="AJ189" s="455"/>
      <c r="AK189" s="456"/>
    </row>
    <row r="190" spans="2:37" ht="12.75" customHeight="1">
      <c r="B190" s="464" t="s">
        <v>1811</v>
      </c>
      <c r="C190" s="445"/>
      <c r="D190" s="64"/>
      <c r="E190" s="64"/>
      <c r="F190" s="64"/>
      <c r="G190" s="64"/>
      <c r="H190" s="446"/>
      <c r="I190" s="447"/>
      <c r="J190" s="447"/>
      <c r="K190" s="447"/>
      <c r="L190" s="448"/>
      <c r="M190" s="449"/>
      <c r="N190" s="104"/>
      <c r="O190" s="104"/>
      <c r="P190" s="104"/>
      <c r="Q190" s="450"/>
      <c r="R190" s="1310"/>
      <c r="S190" s="1310"/>
      <c r="T190" s="1310"/>
      <c r="U190" s="451"/>
      <c r="V190" s="451"/>
      <c r="W190" s="451"/>
      <c r="X190" s="452"/>
      <c r="Y190" s="447"/>
      <c r="Z190" s="447"/>
      <c r="AA190" s="447"/>
      <c r="AB190" s="447"/>
      <c r="AC190" s="447"/>
      <c r="AD190" s="447"/>
      <c r="AE190" s="447"/>
      <c r="AF190" s="448"/>
      <c r="AG190" s="453"/>
      <c r="AH190" s="454"/>
      <c r="AI190" s="104"/>
      <c r="AJ190" s="455"/>
      <c r="AK190" s="456"/>
    </row>
    <row r="191" spans="2:37" ht="12.75" customHeight="1">
      <c r="B191" s="464" t="s">
        <v>1812</v>
      </c>
      <c r="C191" s="445"/>
      <c r="D191" s="64"/>
      <c r="E191" s="64"/>
      <c r="F191" s="64"/>
      <c r="G191" s="64"/>
      <c r="H191" s="446"/>
      <c r="I191" s="447"/>
      <c r="J191" s="447"/>
      <c r="K191" s="447"/>
      <c r="L191" s="448"/>
      <c r="M191" s="449"/>
      <c r="N191" s="104"/>
      <c r="O191" s="104"/>
      <c r="P191" s="104"/>
      <c r="Q191" s="450"/>
      <c r="R191" s="1310"/>
      <c r="S191" s="1310"/>
      <c r="T191" s="1310"/>
      <c r="U191" s="451"/>
      <c r="V191" s="451"/>
      <c r="W191" s="451"/>
      <c r="X191" s="452"/>
      <c r="Y191" s="447"/>
      <c r="Z191" s="447"/>
      <c r="AA191" s="447"/>
      <c r="AB191" s="447"/>
      <c r="AC191" s="447"/>
      <c r="AD191" s="447"/>
      <c r="AE191" s="447"/>
      <c r="AF191" s="448"/>
      <c r="AG191" s="453"/>
      <c r="AH191" s="454"/>
      <c r="AI191" s="104"/>
      <c r="AJ191" s="455"/>
      <c r="AK191" s="456"/>
    </row>
    <row r="192" spans="2:37" ht="12.75" customHeight="1">
      <c r="B192" s="464" t="s">
        <v>1813</v>
      </c>
      <c r="C192" s="445"/>
      <c r="D192" s="64"/>
      <c r="E192" s="64"/>
      <c r="F192" s="64"/>
      <c r="G192" s="64"/>
      <c r="H192" s="446"/>
      <c r="I192" s="447"/>
      <c r="J192" s="447"/>
      <c r="K192" s="447"/>
      <c r="L192" s="448"/>
      <c r="M192" s="449"/>
      <c r="N192" s="104"/>
      <c r="O192" s="104"/>
      <c r="P192" s="104"/>
      <c r="Q192" s="450"/>
      <c r="R192" s="1310"/>
      <c r="S192" s="1310"/>
      <c r="T192" s="1310"/>
      <c r="U192" s="451"/>
      <c r="V192" s="451"/>
      <c r="W192" s="451"/>
      <c r="X192" s="452"/>
      <c r="Y192" s="447"/>
      <c r="Z192" s="447"/>
      <c r="AA192" s="447"/>
      <c r="AB192" s="447"/>
      <c r="AC192" s="447"/>
      <c r="AD192" s="447"/>
      <c r="AE192" s="447"/>
      <c r="AF192" s="448"/>
      <c r="AG192" s="453"/>
      <c r="AH192" s="454"/>
      <c r="AI192" s="104"/>
      <c r="AJ192" s="455"/>
      <c r="AK192" s="456"/>
    </row>
    <row r="193" spans="2:37" ht="12.75" customHeight="1">
      <c r="B193" s="464" t="s">
        <v>1814</v>
      </c>
      <c r="C193" s="445"/>
      <c r="D193" s="64"/>
      <c r="E193" s="64"/>
      <c r="F193" s="64"/>
      <c r="G193" s="64"/>
      <c r="H193" s="446"/>
      <c r="I193" s="447"/>
      <c r="J193" s="447"/>
      <c r="K193" s="447"/>
      <c r="L193" s="448"/>
      <c r="M193" s="449"/>
      <c r="N193" s="104"/>
      <c r="O193" s="104"/>
      <c r="P193" s="104"/>
      <c r="Q193" s="450"/>
      <c r="R193" s="1310"/>
      <c r="S193" s="1310"/>
      <c r="T193" s="1310"/>
      <c r="U193" s="451"/>
      <c r="V193" s="451"/>
      <c r="W193" s="451"/>
      <c r="X193" s="452"/>
      <c r="Y193" s="447"/>
      <c r="Z193" s="447"/>
      <c r="AA193" s="447"/>
      <c r="AB193" s="447"/>
      <c r="AC193" s="447"/>
      <c r="AD193" s="447"/>
      <c r="AE193" s="447"/>
      <c r="AF193" s="448"/>
      <c r="AG193" s="453"/>
      <c r="AH193" s="454"/>
      <c r="AI193" s="104"/>
      <c r="AJ193" s="455"/>
      <c r="AK193" s="456"/>
    </row>
    <row r="194" spans="2:37" ht="12.75" customHeight="1">
      <c r="B194" s="464" t="s">
        <v>1815</v>
      </c>
      <c r="C194" s="445"/>
      <c r="D194" s="64"/>
      <c r="E194" s="64"/>
      <c r="F194" s="64"/>
      <c r="G194" s="64"/>
      <c r="H194" s="446"/>
      <c r="I194" s="447"/>
      <c r="J194" s="447"/>
      <c r="K194" s="447"/>
      <c r="L194" s="448"/>
      <c r="M194" s="449"/>
      <c r="N194" s="104"/>
      <c r="O194" s="104"/>
      <c r="P194" s="104"/>
      <c r="Q194" s="450"/>
      <c r="R194" s="1310"/>
      <c r="S194" s="1310"/>
      <c r="T194" s="1310"/>
      <c r="U194" s="451"/>
      <c r="V194" s="451"/>
      <c r="W194" s="451"/>
      <c r="X194" s="452"/>
      <c r="Y194" s="447"/>
      <c r="Z194" s="447"/>
      <c r="AA194" s="447"/>
      <c r="AB194" s="447"/>
      <c r="AC194" s="447"/>
      <c r="AD194" s="447"/>
      <c r="AE194" s="447"/>
      <c r="AF194" s="448"/>
      <c r="AG194" s="453"/>
      <c r="AH194" s="454"/>
      <c r="AI194" s="104"/>
      <c r="AJ194" s="455"/>
      <c r="AK194" s="456"/>
    </row>
    <row r="195" spans="2:37" ht="12.75" customHeight="1">
      <c r="B195" s="464" t="s">
        <v>1816</v>
      </c>
      <c r="C195" s="445"/>
      <c r="D195" s="64"/>
      <c r="E195" s="64"/>
      <c r="F195" s="64"/>
      <c r="G195" s="64"/>
      <c r="H195" s="446"/>
      <c r="I195" s="447"/>
      <c r="J195" s="447"/>
      <c r="K195" s="447"/>
      <c r="L195" s="448"/>
      <c r="M195" s="449"/>
      <c r="N195" s="104"/>
      <c r="O195" s="104"/>
      <c r="P195" s="104"/>
      <c r="Q195" s="450"/>
      <c r="R195" s="1310"/>
      <c r="S195" s="1310"/>
      <c r="T195" s="1310"/>
      <c r="U195" s="451"/>
      <c r="V195" s="451"/>
      <c r="W195" s="451"/>
      <c r="X195" s="452"/>
      <c r="Y195" s="447"/>
      <c r="Z195" s="447"/>
      <c r="AA195" s="447"/>
      <c r="AB195" s="447"/>
      <c r="AC195" s="447"/>
      <c r="AD195" s="447"/>
      <c r="AE195" s="447"/>
      <c r="AF195" s="448"/>
      <c r="AG195" s="453"/>
      <c r="AH195" s="454"/>
      <c r="AI195" s="104"/>
      <c r="AJ195" s="455"/>
      <c r="AK195" s="456"/>
    </row>
    <row r="196" spans="2:37" ht="12.75" customHeight="1">
      <c r="B196" s="464" t="s">
        <v>1817</v>
      </c>
      <c r="C196" s="445"/>
      <c r="D196" s="64"/>
      <c r="E196" s="64"/>
      <c r="F196" s="64"/>
      <c r="G196" s="64"/>
      <c r="H196" s="446"/>
      <c r="I196" s="447"/>
      <c r="J196" s="447"/>
      <c r="K196" s="447"/>
      <c r="L196" s="448"/>
      <c r="M196" s="449"/>
      <c r="N196" s="104"/>
      <c r="O196" s="104"/>
      <c r="P196" s="104"/>
      <c r="Q196" s="450"/>
      <c r="R196" s="1310"/>
      <c r="S196" s="1310"/>
      <c r="T196" s="1310"/>
      <c r="U196" s="451"/>
      <c r="V196" s="451"/>
      <c r="W196" s="451"/>
      <c r="X196" s="452"/>
      <c r="Y196" s="447"/>
      <c r="Z196" s="447"/>
      <c r="AA196" s="447"/>
      <c r="AB196" s="447"/>
      <c r="AC196" s="447"/>
      <c r="AD196" s="447"/>
      <c r="AE196" s="447"/>
      <c r="AF196" s="448"/>
      <c r="AG196" s="453"/>
      <c r="AH196" s="454"/>
      <c r="AI196" s="104"/>
      <c r="AJ196" s="455"/>
      <c r="AK196" s="456"/>
    </row>
    <row r="197" spans="2:37" ht="12.75" customHeight="1">
      <c r="B197" s="430" t="s">
        <v>1818</v>
      </c>
      <c r="C197" s="466"/>
      <c r="D197" s="467"/>
      <c r="E197" s="467"/>
      <c r="F197" s="467"/>
      <c r="G197" s="467"/>
      <c r="H197" s="468"/>
      <c r="I197" s="469"/>
      <c r="J197" s="469"/>
      <c r="K197" s="469"/>
      <c r="L197" s="470"/>
      <c r="M197" s="471"/>
      <c r="N197" s="472"/>
      <c r="O197" s="472"/>
      <c r="P197" s="472"/>
      <c r="Q197" s="473"/>
      <c r="R197" s="1311"/>
      <c r="S197" s="1311"/>
      <c r="T197" s="1311"/>
      <c r="U197" s="474"/>
      <c r="V197" s="474"/>
      <c r="W197" s="474"/>
      <c r="X197" s="475"/>
      <c r="Y197" s="469"/>
      <c r="Z197" s="469"/>
      <c r="AA197" s="469"/>
      <c r="AB197" s="469"/>
      <c r="AC197" s="469"/>
      <c r="AD197" s="469"/>
      <c r="AE197" s="469"/>
      <c r="AF197" s="470"/>
      <c r="AG197" s="476"/>
      <c r="AH197" s="477"/>
      <c r="AI197" s="472"/>
      <c r="AJ197" s="478"/>
      <c r="AK197" s="444"/>
    </row>
    <row r="198" spans="2:37">
      <c r="B198" s="464" t="s">
        <v>1819</v>
      </c>
      <c r="C198" s="445"/>
      <c r="D198" s="64"/>
      <c r="E198" s="64"/>
      <c r="F198" s="64"/>
      <c r="G198" s="64"/>
      <c r="H198" s="446"/>
      <c r="I198" s="447"/>
      <c r="J198" s="447"/>
      <c r="K198" s="447"/>
      <c r="L198" s="448"/>
      <c r="M198" s="449"/>
      <c r="N198" s="104"/>
      <c r="O198" s="104"/>
      <c r="P198" s="104"/>
      <c r="Q198" s="450"/>
      <c r="R198" s="1310"/>
      <c r="S198" s="1310"/>
      <c r="T198" s="1310"/>
      <c r="U198" s="451"/>
      <c r="V198" s="451"/>
      <c r="W198" s="451"/>
      <c r="X198" s="452"/>
      <c r="Y198" s="447"/>
      <c r="Z198" s="447"/>
      <c r="AA198" s="447"/>
      <c r="AB198" s="447"/>
      <c r="AC198" s="447"/>
      <c r="AD198" s="447"/>
      <c r="AE198" s="447"/>
      <c r="AF198" s="448"/>
      <c r="AG198" s="453"/>
      <c r="AH198" s="454"/>
      <c r="AI198" s="104"/>
      <c r="AJ198" s="455"/>
      <c r="AK198" s="456"/>
    </row>
    <row r="199" spans="2:37">
      <c r="B199" s="464" t="s">
        <v>1820</v>
      </c>
      <c r="C199" s="445"/>
      <c r="D199" s="64"/>
      <c r="E199" s="64"/>
      <c r="F199" s="64"/>
      <c r="G199" s="64"/>
      <c r="H199" s="446"/>
      <c r="I199" s="447"/>
      <c r="J199" s="447"/>
      <c r="K199" s="447"/>
      <c r="L199" s="448"/>
      <c r="M199" s="449"/>
      <c r="N199" s="104"/>
      <c r="O199" s="104"/>
      <c r="P199" s="104"/>
      <c r="Q199" s="450"/>
      <c r="R199" s="1310"/>
      <c r="S199" s="1310"/>
      <c r="T199" s="1310"/>
      <c r="U199" s="451"/>
      <c r="V199" s="451"/>
      <c r="W199" s="451"/>
      <c r="X199" s="452"/>
      <c r="Y199" s="447"/>
      <c r="Z199" s="447"/>
      <c r="AA199" s="447"/>
      <c r="AB199" s="447"/>
      <c r="AC199" s="447"/>
      <c r="AD199" s="447"/>
      <c r="AE199" s="447"/>
      <c r="AF199" s="448"/>
      <c r="AG199" s="453"/>
      <c r="AH199" s="454"/>
      <c r="AI199" s="104"/>
      <c r="AJ199" s="455"/>
      <c r="AK199" s="456"/>
    </row>
    <row r="200" spans="2:37">
      <c r="B200" s="464" t="s">
        <v>1821</v>
      </c>
      <c r="C200" s="445"/>
      <c r="D200" s="64"/>
      <c r="E200" s="64"/>
      <c r="F200" s="64"/>
      <c r="G200" s="64"/>
      <c r="H200" s="446"/>
      <c r="I200" s="447"/>
      <c r="J200" s="447"/>
      <c r="K200" s="447"/>
      <c r="L200" s="448"/>
      <c r="M200" s="449"/>
      <c r="N200" s="104"/>
      <c r="O200" s="104"/>
      <c r="P200" s="104"/>
      <c r="Q200" s="450"/>
      <c r="R200" s="1310"/>
      <c r="S200" s="1310"/>
      <c r="T200" s="1310"/>
      <c r="U200" s="451"/>
      <c r="V200" s="451"/>
      <c r="W200" s="451"/>
      <c r="X200" s="452"/>
      <c r="Y200" s="447"/>
      <c r="Z200" s="447"/>
      <c r="AA200" s="447"/>
      <c r="AB200" s="447"/>
      <c r="AC200" s="447"/>
      <c r="AD200" s="447"/>
      <c r="AE200" s="447"/>
      <c r="AF200" s="448"/>
      <c r="AG200" s="453"/>
      <c r="AH200" s="454"/>
      <c r="AI200" s="104"/>
      <c r="AJ200" s="455"/>
      <c r="AK200" s="456"/>
    </row>
    <row r="201" spans="2:37">
      <c r="B201" s="464" t="s">
        <v>1822</v>
      </c>
      <c r="C201" s="445"/>
      <c r="D201" s="64"/>
      <c r="E201" s="64"/>
      <c r="F201" s="64"/>
      <c r="G201" s="64"/>
      <c r="H201" s="446"/>
      <c r="I201" s="447"/>
      <c r="J201" s="447"/>
      <c r="K201" s="447"/>
      <c r="L201" s="448"/>
      <c r="M201" s="449"/>
      <c r="N201" s="104"/>
      <c r="O201" s="104"/>
      <c r="P201" s="104"/>
      <c r="Q201" s="450"/>
      <c r="R201" s="1310"/>
      <c r="S201" s="1310"/>
      <c r="T201" s="1310"/>
      <c r="U201" s="451"/>
      <c r="V201" s="451"/>
      <c r="W201" s="451"/>
      <c r="X201" s="452"/>
      <c r="Y201" s="447"/>
      <c r="Z201" s="447"/>
      <c r="AA201" s="447"/>
      <c r="AB201" s="447"/>
      <c r="AC201" s="447"/>
      <c r="AD201" s="447"/>
      <c r="AE201" s="447"/>
      <c r="AF201" s="448"/>
      <c r="AG201" s="453"/>
      <c r="AH201" s="454"/>
      <c r="AI201" s="104"/>
      <c r="AJ201" s="455"/>
      <c r="AK201" s="456"/>
    </row>
    <row r="202" spans="2:37">
      <c r="B202" s="464" t="s">
        <v>1823</v>
      </c>
      <c r="C202" s="445"/>
      <c r="D202" s="64"/>
      <c r="E202" s="64"/>
      <c r="F202" s="64"/>
      <c r="G202" s="64"/>
      <c r="H202" s="446"/>
      <c r="I202" s="447"/>
      <c r="J202" s="447"/>
      <c r="K202" s="447"/>
      <c r="L202" s="448"/>
      <c r="M202" s="449"/>
      <c r="N202" s="104"/>
      <c r="O202" s="104"/>
      <c r="P202" s="104"/>
      <c r="Q202" s="450"/>
      <c r="R202" s="1310"/>
      <c r="S202" s="1310"/>
      <c r="T202" s="1310"/>
      <c r="U202" s="451"/>
      <c r="V202" s="451"/>
      <c r="W202" s="451"/>
      <c r="X202" s="452"/>
      <c r="Y202" s="447"/>
      <c r="Z202" s="447"/>
      <c r="AA202" s="447"/>
      <c r="AB202" s="447"/>
      <c r="AC202" s="447"/>
      <c r="AD202" s="447"/>
      <c r="AE202" s="447"/>
      <c r="AF202" s="448"/>
      <c r="AG202" s="453"/>
      <c r="AH202" s="454"/>
      <c r="AI202" s="104"/>
      <c r="AJ202" s="455"/>
      <c r="AK202" s="456"/>
    </row>
    <row r="203" spans="2:37">
      <c r="B203" s="464" t="s">
        <v>1824</v>
      </c>
      <c r="C203" s="445"/>
      <c r="D203" s="64"/>
      <c r="E203" s="64"/>
      <c r="F203" s="64"/>
      <c r="G203" s="64"/>
      <c r="H203" s="446"/>
      <c r="I203" s="447"/>
      <c r="J203" s="447"/>
      <c r="K203" s="447"/>
      <c r="L203" s="448"/>
      <c r="M203" s="449"/>
      <c r="N203" s="104"/>
      <c r="O203" s="104"/>
      <c r="P203" s="104"/>
      <c r="Q203" s="450"/>
      <c r="R203" s="1310"/>
      <c r="S203" s="1310"/>
      <c r="T203" s="1310"/>
      <c r="U203" s="451"/>
      <c r="V203" s="451"/>
      <c r="W203" s="451"/>
      <c r="X203" s="452"/>
      <c r="Y203" s="447"/>
      <c r="Z203" s="447"/>
      <c r="AA203" s="447"/>
      <c r="AB203" s="447"/>
      <c r="AC203" s="447"/>
      <c r="AD203" s="447"/>
      <c r="AE203" s="447"/>
      <c r="AF203" s="448"/>
      <c r="AG203" s="453"/>
      <c r="AH203" s="454"/>
      <c r="AI203" s="104"/>
      <c r="AJ203" s="455"/>
      <c r="AK203" s="456"/>
    </row>
    <row r="204" spans="2:37">
      <c r="B204" s="464" t="s">
        <v>1825</v>
      </c>
      <c r="C204" s="445"/>
      <c r="D204" s="64"/>
      <c r="E204" s="64"/>
      <c r="F204" s="64"/>
      <c r="G204" s="64"/>
      <c r="H204" s="446"/>
      <c r="I204" s="447"/>
      <c r="J204" s="447"/>
      <c r="K204" s="447"/>
      <c r="L204" s="448"/>
      <c r="M204" s="449"/>
      <c r="N204" s="104"/>
      <c r="O204" s="104"/>
      <c r="P204" s="104"/>
      <c r="Q204" s="450"/>
      <c r="R204" s="1310"/>
      <c r="S204" s="1310"/>
      <c r="T204" s="1310"/>
      <c r="U204" s="451"/>
      <c r="V204" s="451"/>
      <c r="W204" s="451"/>
      <c r="X204" s="452"/>
      <c r="Y204" s="447"/>
      <c r="Z204" s="447"/>
      <c r="AA204" s="447"/>
      <c r="AB204" s="447"/>
      <c r="AC204" s="447"/>
      <c r="AD204" s="447"/>
      <c r="AE204" s="447"/>
      <c r="AF204" s="448"/>
      <c r="AG204" s="453"/>
      <c r="AH204" s="454"/>
      <c r="AI204" s="104"/>
      <c r="AJ204" s="455"/>
      <c r="AK204" s="456"/>
    </row>
    <row r="205" spans="2:37">
      <c r="B205" s="464" t="s">
        <v>1826</v>
      </c>
      <c r="C205" s="445"/>
      <c r="D205" s="64"/>
      <c r="E205" s="64"/>
      <c r="F205" s="64"/>
      <c r="G205" s="64"/>
      <c r="H205" s="446"/>
      <c r="I205" s="447"/>
      <c r="J205" s="447"/>
      <c r="K205" s="447"/>
      <c r="L205" s="448"/>
      <c r="M205" s="449"/>
      <c r="N205" s="104"/>
      <c r="O205" s="104"/>
      <c r="P205" s="104"/>
      <c r="Q205" s="450"/>
      <c r="R205" s="1310"/>
      <c r="S205" s="1310"/>
      <c r="T205" s="1310"/>
      <c r="U205" s="451"/>
      <c r="V205" s="451"/>
      <c r="W205" s="451"/>
      <c r="X205" s="452"/>
      <c r="Y205" s="447"/>
      <c r="Z205" s="447"/>
      <c r="AA205" s="447"/>
      <c r="AB205" s="447"/>
      <c r="AC205" s="447"/>
      <c r="AD205" s="447"/>
      <c r="AE205" s="447"/>
      <c r="AF205" s="448"/>
      <c r="AG205" s="453"/>
      <c r="AH205" s="454"/>
      <c r="AI205" s="104"/>
      <c r="AJ205" s="455"/>
      <c r="AK205" s="456"/>
    </row>
    <row r="206" spans="2:37">
      <c r="B206" s="464" t="s">
        <v>1827</v>
      </c>
      <c r="C206" s="445"/>
      <c r="D206" s="64"/>
      <c r="E206" s="64"/>
      <c r="F206" s="64"/>
      <c r="G206" s="64"/>
      <c r="H206" s="446"/>
      <c r="I206" s="447"/>
      <c r="J206" s="447"/>
      <c r="K206" s="447"/>
      <c r="L206" s="448"/>
      <c r="M206" s="449"/>
      <c r="N206" s="104"/>
      <c r="O206" s="104"/>
      <c r="P206" s="104"/>
      <c r="Q206" s="450"/>
      <c r="R206" s="1310"/>
      <c r="S206" s="1310"/>
      <c r="T206" s="1310"/>
      <c r="U206" s="451"/>
      <c r="V206" s="451"/>
      <c r="W206" s="451"/>
      <c r="X206" s="452"/>
      <c r="Y206" s="447"/>
      <c r="Z206" s="447"/>
      <c r="AA206" s="447"/>
      <c r="AB206" s="447"/>
      <c r="AC206" s="447"/>
      <c r="AD206" s="447"/>
      <c r="AE206" s="447"/>
      <c r="AF206" s="448"/>
      <c r="AG206" s="453"/>
      <c r="AH206" s="454"/>
      <c r="AI206" s="104"/>
      <c r="AJ206" s="455"/>
      <c r="AK206" s="456"/>
    </row>
    <row r="207" spans="2:37">
      <c r="B207" s="464" t="s">
        <v>1828</v>
      </c>
      <c r="C207" s="445"/>
      <c r="D207" s="64"/>
      <c r="E207" s="64"/>
      <c r="F207" s="64"/>
      <c r="G207" s="64"/>
      <c r="H207" s="446"/>
      <c r="I207" s="447"/>
      <c r="J207" s="447"/>
      <c r="K207" s="447"/>
      <c r="L207" s="448"/>
      <c r="M207" s="449"/>
      <c r="N207" s="104"/>
      <c r="O207" s="104"/>
      <c r="P207" s="104"/>
      <c r="Q207" s="450"/>
      <c r="R207" s="1310"/>
      <c r="S207" s="1310"/>
      <c r="T207" s="1310"/>
      <c r="U207" s="451"/>
      <c r="V207" s="451"/>
      <c r="W207" s="451"/>
      <c r="X207" s="452"/>
      <c r="Y207" s="447"/>
      <c r="Z207" s="447"/>
      <c r="AA207" s="447"/>
      <c r="AB207" s="447"/>
      <c r="AC207" s="447"/>
      <c r="AD207" s="447"/>
      <c r="AE207" s="447"/>
      <c r="AF207" s="448"/>
      <c r="AG207" s="453"/>
      <c r="AH207" s="454"/>
      <c r="AI207" s="104"/>
      <c r="AJ207" s="455"/>
      <c r="AK207" s="456"/>
    </row>
    <row r="208" spans="2:37">
      <c r="B208" s="464" t="s">
        <v>1829</v>
      </c>
      <c r="C208" s="445"/>
      <c r="D208" s="64"/>
      <c r="E208" s="64"/>
      <c r="F208" s="64"/>
      <c r="G208" s="64"/>
      <c r="H208" s="446"/>
      <c r="I208" s="447"/>
      <c r="J208" s="447"/>
      <c r="K208" s="447"/>
      <c r="L208" s="448"/>
      <c r="M208" s="449"/>
      <c r="N208" s="104"/>
      <c r="O208" s="104"/>
      <c r="P208" s="104"/>
      <c r="Q208" s="450"/>
      <c r="R208" s="1310"/>
      <c r="S208" s="1310"/>
      <c r="T208" s="1310"/>
      <c r="U208" s="451"/>
      <c r="V208" s="451"/>
      <c r="W208" s="451"/>
      <c r="X208" s="452"/>
      <c r="Y208" s="447"/>
      <c r="Z208" s="447"/>
      <c r="AA208" s="447"/>
      <c r="AB208" s="447"/>
      <c r="AC208" s="447"/>
      <c r="AD208" s="447"/>
      <c r="AE208" s="447"/>
      <c r="AF208" s="448"/>
      <c r="AG208" s="453"/>
      <c r="AH208" s="454"/>
      <c r="AI208" s="104"/>
      <c r="AJ208" s="455"/>
      <c r="AK208" s="456"/>
    </row>
    <row r="209" spans="2:37">
      <c r="B209" s="464" t="s">
        <v>1830</v>
      </c>
      <c r="C209" s="445"/>
      <c r="D209" s="64"/>
      <c r="E209" s="64"/>
      <c r="F209" s="64"/>
      <c r="G209" s="64"/>
      <c r="H209" s="446"/>
      <c r="I209" s="447"/>
      <c r="J209" s="447"/>
      <c r="K209" s="447"/>
      <c r="L209" s="448"/>
      <c r="M209" s="449"/>
      <c r="N209" s="104"/>
      <c r="O209" s="104"/>
      <c r="P209" s="104"/>
      <c r="Q209" s="450"/>
      <c r="R209" s="1310"/>
      <c r="S209" s="1310"/>
      <c r="T209" s="1310"/>
      <c r="U209" s="451"/>
      <c r="V209" s="451"/>
      <c r="W209" s="451"/>
      <c r="X209" s="452"/>
      <c r="Y209" s="447"/>
      <c r="Z209" s="447"/>
      <c r="AA209" s="447"/>
      <c r="AB209" s="447"/>
      <c r="AC209" s="447"/>
      <c r="AD209" s="447"/>
      <c r="AE209" s="447"/>
      <c r="AF209" s="448"/>
      <c r="AG209" s="453"/>
      <c r="AH209" s="454"/>
      <c r="AI209" s="104"/>
      <c r="AJ209" s="455"/>
      <c r="AK209" s="456"/>
    </row>
    <row r="210" spans="2:37">
      <c r="B210" s="464" t="s">
        <v>1831</v>
      </c>
      <c r="C210" s="445"/>
      <c r="D210" s="64"/>
      <c r="E210" s="64"/>
      <c r="F210" s="64"/>
      <c r="G210" s="64"/>
      <c r="H210" s="446"/>
      <c r="I210" s="447"/>
      <c r="J210" s="447"/>
      <c r="K210" s="447"/>
      <c r="L210" s="448"/>
      <c r="M210" s="449"/>
      <c r="N210" s="104"/>
      <c r="O210" s="104"/>
      <c r="P210" s="104"/>
      <c r="Q210" s="450"/>
      <c r="R210" s="1310"/>
      <c r="S210" s="1310"/>
      <c r="T210" s="1310"/>
      <c r="U210" s="451"/>
      <c r="V210" s="451"/>
      <c r="W210" s="451"/>
      <c r="X210" s="452"/>
      <c r="Y210" s="447"/>
      <c r="Z210" s="447"/>
      <c r="AA210" s="447"/>
      <c r="AB210" s="447"/>
      <c r="AC210" s="447"/>
      <c r="AD210" s="447"/>
      <c r="AE210" s="447"/>
      <c r="AF210" s="448"/>
      <c r="AG210" s="453"/>
      <c r="AH210" s="454"/>
      <c r="AI210" s="104"/>
      <c r="AJ210" s="455"/>
      <c r="AK210" s="456"/>
    </row>
    <row r="211" spans="2:37">
      <c r="B211" s="464" t="s">
        <v>1832</v>
      </c>
      <c r="C211" s="445"/>
      <c r="D211" s="64"/>
      <c r="E211" s="64"/>
      <c r="F211" s="64"/>
      <c r="G211" s="64"/>
      <c r="H211" s="446"/>
      <c r="I211" s="447"/>
      <c r="J211" s="447"/>
      <c r="K211" s="447"/>
      <c r="L211" s="448"/>
      <c r="M211" s="449"/>
      <c r="N211" s="104"/>
      <c r="O211" s="104"/>
      <c r="P211" s="104"/>
      <c r="Q211" s="450"/>
      <c r="R211" s="1310"/>
      <c r="S211" s="1310"/>
      <c r="T211" s="1310"/>
      <c r="U211" s="451"/>
      <c r="V211" s="451"/>
      <c r="W211" s="451"/>
      <c r="X211" s="452"/>
      <c r="Y211" s="447"/>
      <c r="Z211" s="447"/>
      <c r="AA211" s="447"/>
      <c r="AB211" s="447"/>
      <c r="AC211" s="447"/>
      <c r="AD211" s="447"/>
      <c r="AE211" s="447"/>
      <c r="AF211" s="448"/>
      <c r="AG211" s="453"/>
      <c r="AH211" s="454"/>
      <c r="AI211" s="104"/>
      <c r="AJ211" s="455"/>
      <c r="AK211" s="456"/>
    </row>
    <row r="212" spans="2:37">
      <c r="B212" s="464" t="s">
        <v>1833</v>
      </c>
      <c r="C212" s="445"/>
      <c r="D212" s="64"/>
      <c r="E212" s="64"/>
      <c r="F212" s="64"/>
      <c r="G212" s="64"/>
      <c r="H212" s="446"/>
      <c r="I212" s="447"/>
      <c r="J212" s="447"/>
      <c r="K212" s="447"/>
      <c r="L212" s="448"/>
      <c r="M212" s="449"/>
      <c r="N212" s="104"/>
      <c r="O212" s="104"/>
      <c r="P212" s="104"/>
      <c r="Q212" s="450"/>
      <c r="R212" s="1310"/>
      <c r="S212" s="1310"/>
      <c r="T212" s="1310"/>
      <c r="U212" s="451"/>
      <c r="V212" s="451"/>
      <c r="W212" s="451"/>
      <c r="X212" s="452"/>
      <c r="Y212" s="447"/>
      <c r="Z212" s="447"/>
      <c r="AA212" s="447"/>
      <c r="AB212" s="447"/>
      <c r="AC212" s="447"/>
      <c r="AD212" s="447"/>
      <c r="AE212" s="447"/>
      <c r="AF212" s="448"/>
      <c r="AG212" s="453"/>
      <c r="AH212" s="454"/>
      <c r="AI212" s="104"/>
      <c r="AJ212" s="455"/>
      <c r="AK212" s="456"/>
    </row>
    <row r="213" spans="2:37">
      <c r="B213" s="464" t="s">
        <v>2185</v>
      </c>
      <c r="C213" s="445"/>
      <c r="D213" s="64"/>
      <c r="E213" s="64"/>
      <c r="F213" s="64"/>
      <c r="G213" s="64"/>
      <c r="H213" s="446"/>
      <c r="I213" s="447"/>
      <c r="J213" s="447"/>
      <c r="K213" s="447"/>
      <c r="L213" s="448"/>
      <c r="M213" s="449"/>
      <c r="N213" s="104"/>
      <c r="O213" s="104"/>
      <c r="P213" s="104"/>
      <c r="Q213" s="450"/>
      <c r="R213" s="1310"/>
      <c r="S213" s="1310"/>
      <c r="T213" s="1310"/>
      <c r="U213" s="451"/>
      <c r="V213" s="451"/>
      <c r="W213" s="451"/>
      <c r="X213" s="452"/>
      <c r="Y213" s="447"/>
      <c r="Z213" s="447"/>
      <c r="AA213" s="447"/>
      <c r="AB213" s="447"/>
      <c r="AC213" s="447"/>
      <c r="AD213" s="447"/>
      <c r="AE213" s="447"/>
      <c r="AF213" s="448"/>
      <c r="AG213" s="453"/>
      <c r="AH213" s="454"/>
      <c r="AI213" s="104"/>
      <c r="AJ213" s="455"/>
      <c r="AK213" s="456"/>
    </row>
    <row r="214" spans="2:37">
      <c r="B214" s="464" t="s">
        <v>2186</v>
      </c>
      <c r="C214" s="445"/>
      <c r="D214" s="64"/>
      <c r="E214" s="64"/>
      <c r="F214" s="64"/>
      <c r="G214" s="64"/>
      <c r="H214" s="446"/>
      <c r="I214" s="447"/>
      <c r="J214" s="447"/>
      <c r="K214" s="447"/>
      <c r="L214" s="448"/>
      <c r="M214" s="449"/>
      <c r="N214" s="104"/>
      <c r="O214" s="104"/>
      <c r="P214" s="104"/>
      <c r="Q214" s="450"/>
      <c r="R214" s="1310"/>
      <c r="S214" s="1310"/>
      <c r="T214" s="1310"/>
      <c r="U214" s="451"/>
      <c r="V214" s="451"/>
      <c r="W214" s="451"/>
      <c r="X214" s="452"/>
      <c r="Y214" s="447"/>
      <c r="Z214" s="447"/>
      <c r="AA214" s="447"/>
      <c r="AB214" s="447"/>
      <c r="AC214" s="447"/>
      <c r="AD214" s="447"/>
      <c r="AE214" s="447"/>
      <c r="AF214" s="448"/>
      <c r="AG214" s="453"/>
      <c r="AH214" s="454"/>
      <c r="AI214" s="104"/>
      <c r="AJ214" s="455"/>
      <c r="AK214" s="456"/>
    </row>
    <row r="215" spans="2:37">
      <c r="B215" s="464" t="s">
        <v>2187</v>
      </c>
      <c r="C215" s="445"/>
      <c r="D215" s="64"/>
      <c r="E215" s="64"/>
      <c r="F215" s="64"/>
      <c r="G215" s="64"/>
      <c r="H215" s="446"/>
      <c r="I215" s="447"/>
      <c r="J215" s="447"/>
      <c r="K215" s="447"/>
      <c r="L215" s="448"/>
      <c r="M215" s="449"/>
      <c r="N215" s="104"/>
      <c r="O215" s="104"/>
      <c r="P215" s="104"/>
      <c r="Q215" s="450"/>
      <c r="R215" s="1310"/>
      <c r="S215" s="1310"/>
      <c r="T215" s="1310"/>
      <c r="U215" s="451"/>
      <c r="V215" s="451"/>
      <c r="W215" s="451"/>
      <c r="X215" s="452"/>
      <c r="Y215" s="447"/>
      <c r="Z215" s="447"/>
      <c r="AA215" s="447"/>
      <c r="AB215" s="447"/>
      <c r="AC215" s="447"/>
      <c r="AD215" s="447"/>
      <c r="AE215" s="447"/>
      <c r="AF215" s="448"/>
      <c r="AG215" s="453"/>
      <c r="AH215" s="454"/>
      <c r="AI215" s="104"/>
      <c r="AJ215" s="455"/>
      <c r="AK215" s="456"/>
    </row>
    <row r="216" spans="2:37">
      <c r="B216" s="464" t="s">
        <v>2188</v>
      </c>
      <c r="C216" s="445"/>
      <c r="D216" s="64"/>
      <c r="E216" s="64"/>
      <c r="F216" s="64"/>
      <c r="G216" s="64"/>
      <c r="H216" s="446"/>
      <c r="I216" s="447"/>
      <c r="J216" s="447"/>
      <c r="K216" s="447"/>
      <c r="L216" s="448"/>
      <c r="M216" s="449"/>
      <c r="N216" s="104"/>
      <c r="O216" s="104"/>
      <c r="P216" s="104"/>
      <c r="Q216" s="450"/>
      <c r="R216" s="1310"/>
      <c r="S216" s="1310"/>
      <c r="T216" s="1310"/>
      <c r="U216" s="451"/>
      <c r="V216" s="451"/>
      <c r="W216" s="451"/>
      <c r="X216" s="452"/>
      <c r="Y216" s="447"/>
      <c r="Z216" s="447"/>
      <c r="AA216" s="447"/>
      <c r="AB216" s="447"/>
      <c r="AC216" s="447"/>
      <c r="AD216" s="447"/>
      <c r="AE216" s="447"/>
      <c r="AF216" s="448"/>
      <c r="AG216" s="453"/>
      <c r="AH216" s="454"/>
      <c r="AI216" s="104"/>
      <c r="AJ216" s="455"/>
      <c r="AK216" s="456"/>
    </row>
    <row r="217" spans="2:37" ht="12.75" customHeight="1">
      <c r="B217" s="464" t="s">
        <v>2189</v>
      </c>
      <c r="C217" s="445"/>
      <c r="D217" s="64"/>
      <c r="E217" s="64"/>
      <c r="F217" s="64"/>
      <c r="G217" s="64"/>
      <c r="H217" s="446"/>
      <c r="I217" s="447"/>
      <c r="J217" s="447"/>
      <c r="K217" s="447"/>
      <c r="L217" s="448"/>
      <c r="M217" s="449"/>
      <c r="N217" s="104"/>
      <c r="O217" s="104"/>
      <c r="P217" s="104"/>
      <c r="Q217" s="450"/>
      <c r="R217" s="1310"/>
      <c r="S217" s="1310"/>
      <c r="T217" s="1310"/>
      <c r="U217" s="451"/>
      <c r="V217" s="451"/>
      <c r="W217" s="451"/>
      <c r="X217" s="452"/>
      <c r="Y217" s="447"/>
      <c r="Z217" s="447"/>
      <c r="AA217" s="447"/>
      <c r="AB217" s="447"/>
      <c r="AC217" s="447"/>
      <c r="AD217" s="447"/>
      <c r="AE217" s="447"/>
      <c r="AF217" s="448"/>
      <c r="AG217" s="453"/>
      <c r="AH217" s="454"/>
      <c r="AI217" s="104"/>
      <c r="AJ217" s="455"/>
      <c r="AK217" s="456"/>
    </row>
    <row r="218" spans="2:37" ht="12.75" customHeight="1">
      <c r="B218" s="464" t="s">
        <v>2190</v>
      </c>
      <c r="C218" s="445"/>
      <c r="D218" s="64"/>
      <c r="E218" s="64"/>
      <c r="F218" s="64"/>
      <c r="G218" s="64"/>
      <c r="H218" s="446"/>
      <c r="I218" s="447"/>
      <c r="J218" s="447"/>
      <c r="K218" s="447"/>
      <c r="L218" s="448"/>
      <c r="M218" s="449"/>
      <c r="N218" s="104"/>
      <c r="O218" s="104"/>
      <c r="P218" s="104"/>
      <c r="Q218" s="450"/>
      <c r="R218" s="1310"/>
      <c r="S218" s="1310"/>
      <c r="T218" s="1310"/>
      <c r="U218" s="451"/>
      <c r="V218" s="451"/>
      <c r="W218" s="451"/>
      <c r="X218" s="452"/>
      <c r="Y218" s="447"/>
      <c r="Z218" s="447"/>
      <c r="AA218" s="447"/>
      <c r="AB218" s="447"/>
      <c r="AC218" s="447"/>
      <c r="AD218" s="447"/>
      <c r="AE218" s="447"/>
      <c r="AF218" s="448"/>
      <c r="AG218" s="453"/>
      <c r="AH218" s="454"/>
      <c r="AI218" s="104"/>
      <c r="AJ218" s="455"/>
      <c r="AK218" s="456"/>
    </row>
    <row r="219" spans="2:37" ht="12.75" customHeight="1">
      <c r="B219" s="464" t="s">
        <v>2191</v>
      </c>
      <c r="C219" s="445"/>
      <c r="D219" s="64"/>
      <c r="E219" s="64"/>
      <c r="F219" s="64"/>
      <c r="G219" s="64"/>
      <c r="H219" s="446"/>
      <c r="I219" s="447"/>
      <c r="J219" s="447"/>
      <c r="K219" s="447"/>
      <c r="L219" s="448"/>
      <c r="M219" s="449"/>
      <c r="N219" s="104"/>
      <c r="O219" s="104"/>
      <c r="P219" s="104"/>
      <c r="Q219" s="450"/>
      <c r="R219" s="1310"/>
      <c r="S219" s="1310"/>
      <c r="T219" s="1310"/>
      <c r="U219" s="451"/>
      <c r="V219" s="451"/>
      <c r="W219" s="451"/>
      <c r="X219" s="452"/>
      <c r="Y219" s="447"/>
      <c r="Z219" s="447"/>
      <c r="AA219" s="447"/>
      <c r="AB219" s="447"/>
      <c r="AC219" s="447"/>
      <c r="AD219" s="447"/>
      <c r="AE219" s="447"/>
      <c r="AF219" s="448"/>
      <c r="AG219" s="453"/>
      <c r="AH219" s="454"/>
      <c r="AI219" s="104"/>
      <c r="AJ219" s="455"/>
      <c r="AK219" s="456"/>
    </row>
    <row r="220" spans="2:37" ht="12.75" customHeight="1">
      <c r="B220" s="464" t="s">
        <v>2192</v>
      </c>
      <c r="C220" s="445"/>
      <c r="D220" s="64"/>
      <c r="E220" s="64"/>
      <c r="F220" s="64"/>
      <c r="G220" s="64"/>
      <c r="H220" s="446"/>
      <c r="I220" s="447"/>
      <c r="J220" s="447"/>
      <c r="K220" s="447"/>
      <c r="L220" s="448"/>
      <c r="M220" s="449"/>
      <c r="N220" s="104"/>
      <c r="O220" s="104"/>
      <c r="P220" s="104"/>
      <c r="Q220" s="450"/>
      <c r="R220" s="1310"/>
      <c r="S220" s="1310"/>
      <c r="T220" s="1310"/>
      <c r="U220" s="451"/>
      <c r="V220" s="451"/>
      <c r="W220" s="451"/>
      <c r="X220" s="452"/>
      <c r="Y220" s="447"/>
      <c r="Z220" s="447"/>
      <c r="AA220" s="447"/>
      <c r="AB220" s="447"/>
      <c r="AC220" s="447"/>
      <c r="AD220" s="447"/>
      <c r="AE220" s="447"/>
      <c r="AF220" s="448"/>
      <c r="AG220" s="453"/>
      <c r="AH220" s="454"/>
      <c r="AI220" s="104"/>
      <c r="AJ220" s="455"/>
      <c r="AK220" s="456"/>
    </row>
    <row r="221" spans="2:37" ht="12.75" customHeight="1">
      <c r="B221" s="464" t="s">
        <v>2193</v>
      </c>
      <c r="C221" s="445"/>
      <c r="D221" s="64"/>
      <c r="E221" s="64"/>
      <c r="F221" s="64"/>
      <c r="G221" s="64"/>
      <c r="H221" s="446"/>
      <c r="I221" s="447"/>
      <c r="J221" s="447"/>
      <c r="K221" s="447"/>
      <c r="L221" s="448"/>
      <c r="M221" s="449"/>
      <c r="N221" s="104"/>
      <c r="O221" s="104"/>
      <c r="P221" s="104"/>
      <c r="Q221" s="450"/>
      <c r="R221" s="1310"/>
      <c r="S221" s="1310"/>
      <c r="T221" s="1310"/>
      <c r="U221" s="451"/>
      <c r="V221" s="451"/>
      <c r="W221" s="451"/>
      <c r="X221" s="452"/>
      <c r="Y221" s="447"/>
      <c r="Z221" s="447"/>
      <c r="AA221" s="447"/>
      <c r="AB221" s="447"/>
      <c r="AC221" s="447"/>
      <c r="AD221" s="447"/>
      <c r="AE221" s="447"/>
      <c r="AF221" s="448"/>
      <c r="AG221" s="453"/>
      <c r="AH221" s="454"/>
      <c r="AI221" s="104"/>
      <c r="AJ221" s="455"/>
      <c r="AK221" s="456"/>
    </row>
    <row r="222" spans="2:37" ht="12.75" customHeight="1">
      <c r="B222" s="464" t="s">
        <v>2194</v>
      </c>
      <c r="C222" s="445"/>
      <c r="D222" s="64"/>
      <c r="E222" s="64"/>
      <c r="F222" s="64"/>
      <c r="G222" s="64"/>
      <c r="H222" s="446"/>
      <c r="I222" s="447"/>
      <c r="J222" s="447"/>
      <c r="K222" s="447"/>
      <c r="L222" s="448"/>
      <c r="M222" s="449"/>
      <c r="N222" s="104"/>
      <c r="O222" s="104"/>
      <c r="P222" s="104"/>
      <c r="Q222" s="450"/>
      <c r="R222" s="1310"/>
      <c r="S222" s="1310"/>
      <c r="T222" s="1310"/>
      <c r="U222" s="451"/>
      <c r="V222" s="451"/>
      <c r="W222" s="451"/>
      <c r="X222" s="452"/>
      <c r="Y222" s="447"/>
      <c r="Z222" s="447"/>
      <c r="AA222" s="447"/>
      <c r="AB222" s="447"/>
      <c r="AC222" s="447"/>
      <c r="AD222" s="447"/>
      <c r="AE222" s="447"/>
      <c r="AF222" s="448"/>
      <c r="AG222" s="453"/>
      <c r="AH222" s="454"/>
      <c r="AI222" s="104"/>
      <c r="AJ222" s="455"/>
      <c r="AK222" s="456"/>
    </row>
    <row r="223" spans="2:37" ht="12.75" customHeight="1">
      <c r="B223" s="464" t="s">
        <v>2195</v>
      </c>
      <c r="C223" s="445"/>
      <c r="D223" s="64"/>
      <c r="E223" s="64"/>
      <c r="F223" s="64"/>
      <c r="G223" s="64"/>
      <c r="H223" s="446"/>
      <c r="I223" s="447"/>
      <c r="J223" s="447"/>
      <c r="K223" s="447"/>
      <c r="L223" s="448"/>
      <c r="M223" s="449"/>
      <c r="N223" s="104"/>
      <c r="O223" s="104"/>
      <c r="P223" s="104"/>
      <c r="Q223" s="450"/>
      <c r="R223" s="1310"/>
      <c r="S223" s="1310"/>
      <c r="T223" s="1310"/>
      <c r="U223" s="451"/>
      <c r="V223" s="451"/>
      <c r="W223" s="451"/>
      <c r="X223" s="452"/>
      <c r="Y223" s="447"/>
      <c r="Z223" s="447"/>
      <c r="AA223" s="447"/>
      <c r="AB223" s="447"/>
      <c r="AC223" s="447"/>
      <c r="AD223" s="447"/>
      <c r="AE223" s="447"/>
      <c r="AF223" s="448"/>
      <c r="AG223" s="453"/>
      <c r="AH223" s="454"/>
      <c r="AI223" s="104"/>
      <c r="AJ223" s="455"/>
      <c r="AK223" s="456"/>
    </row>
    <row r="224" spans="2:37" ht="12.75" customHeight="1">
      <c r="B224" s="464" t="s">
        <v>2196</v>
      </c>
      <c r="C224" s="445"/>
      <c r="D224" s="64"/>
      <c r="E224" s="64"/>
      <c r="F224" s="64"/>
      <c r="G224" s="64"/>
      <c r="H224" s="446"/>
      <c r="I224" s="447"/>
      <c r="J224" s="447"/>
      <c r="K224" s="447"/>
      <c r="L224" s="448"/>
      <c r="M224" s="449"/>
      <c r="N224" s="104"/>
      <c r="O224" s="104"/>
      <c r="P224" s="104"/>
      <c r="Q224" s="450"/>
      <c r="R224" s="1310"/>
      <c r="S224" s="1310"/>
      <c r="T224" s="1310"/>
      <c r="U224" s="451"/>
      <c r="V224" s="451"/>
      <c r="W224" s="451"/>
      <c r="X224" s="452"/>
      <c r="Y224" s="447"/>
      <c r="Z224" s="447"/>
      <c r="AA224" s="447"/>
      <c r="AB224" s="447"/>
      <c r="AC224" s="447"/>
      <c r="AD224" s="447"/>
      <c r="AE224" s="447"/>
      <c r="AF224" s="448"/>
      <c r="AG224" s="453"/>
      <c r="AH224" s="454"/>
      <c r="AI224" s="104"/>
      <c r="AJ224" s="455"/>
      <c r="AK224" s="456"/>
    </row>
    <row r="225" spans="2:43" ht="12.75" customHeight="1">
      <c r="B225" s="464" t="s">
        <v>2197</v>
      </c>
      <c r="C225" s="445"/>
      <c r="D225" s="64"/>
      <c r="E225" s="64"/>
      <c r="F225" s="64"/>
      <c r="G225" s="64"/>
      <c r="H225" s="446"/>
      <c r="I225" s="447"/>
      <c r="J225" s="447"/>
      <c r="K225" s="447"/>
      <c r="L225" s="448"/>
      <c r="M225" s="449"/>
      <c r="N225" s="104"/>
      <c r="O225" s="104"/>
      <c r="P225" s="104"/>
      <c r="Q225" s="450"/>
      <c r="R225" s="1310"/>
      <c r="S225" s="1310"/>
      <c r="T225" s="1310"/>
      <c r="U225" s="451"/>
      <c r="V225" s="451"/>
      <c r="W225" s="451"/>
      <c r="X225" s="452"/>
      <c r="Y225" s="447"/>
      <c r="Z225" s="447"/>
      <c r="AA225" s="447"/>
      <c r="AB225" s="447"/>
      <c r="AC225" s="447"/>
      <c r="AD225" s="447"/>
      <c r="AE225" s="447"/>
      <c r="AF225" s="448"/>
      <c r="AG225" s="453"/>
      <c r="AH225" s="454"/>
      <c r="AI225" s="104"/>
      <c r="AJ225" s="455"/>
      <c r="AK225" s="456"/>
    </row>
    <row r="226" spans="2:43" ht="12.75" customHeight="1">
      <c r="B226" s="464" t="s">
        <v>2198</v>
      </c>
      <c r="C226" s="445"/>
      <c r="D226" s="64"/>
      <c r="E226" s="64"/>
      <c r="F226" s="64"/>
      <c r="G226" s="64"/>
      <c r="H226" s="446"/>
      <c r="I226" s="447"/>
      <c r="J226" s="447"/>
      <c r="K226" s="447"/>
      <c r="L226" s="448"/>
      <c r="M226" s="449"/>
      <c r="N226" s="104"/>
      <c r="O226" s="104"/>
      <c r="P226" s="104"/>
      <c r="Q226" s="450"/>
      <c r="R226" s="1310"/>
      <c r="S226" s="1310"/>
      <c r="T226" s="1310"/>
      <c r="U226" s="451"/>
      <c r="V226" s="451"/>
      <c r="W226" s="451"/>
      <c r="X226" s="452"/>
      <c r="Y226" s="447"/>
      <c r="Z226" s="447"/>
      <c r="AA226" s="447"/>
      <c r="AB226" s="447"/>
      <c r="AC226" s="447"/>
      <c r="AD226" s="447"/>
      <c r="AE226" s="447"/>
      <c r="AF226" s="448"/>
      <c r="AG226" s="453"/>
      <c r="AH226" s="454"/>
      <c r="AI226" s="104"/>
      <c r="AJ226" s="455"/>
      <c r="AK226" s="456"/>
    </row>
    <row r="227" spans="2:43" ht="12.75" customHeight="1">
      <c r="B227" s="464" t="s">
        <v>2199</v>
      </c>
      <c r="C227" s="445"/>
      <c r="D227" s="64"/>
      <c r="E227" s="64"/>
      <c r="F227" s="64"/>
      <c r="G227" s="64"/>
      <c r="H227" s="446"/>
      <c r="I227" s="447"/>
      <c r="J227" s="447"/>
      <c r="K227" s="447"/>
      <c r="L227" s="448"/>
      <c r="M227" s="449"/>
      <c r="N227" s="104"/>
      <c r="O227" s="104"/>
      <c r="P227" s="104"/>
      <c r="Q227" s="450"/>
      <c r="R227" s="1310"/>
      <c r="S227" s="1310"/>
      <c r="T227" s="1310"/>
      <c r="U227" s="451"/>
      <c r="V227" s="451"/>
      <c r="W227" s="451"/>
      <c r="X227" s="452"/>
      <c r="Y227" s="447"/>
      <c r="Z227" s="447"/>
      <c r="AA227" s="447"/>
      <c r="AB227" s="447"/>
      <c r="AC227" s="447"/>
      <c r="AD227" s="447"/>
      <c r="AE227" s="447"/>
      <c r="AF227" s="448"/>
      <c r="AG227" s="453"/>
      <c r="AH227" s="454"/>
      <c r="AI227" s="104"/>
      <c r="AJ227" s="455"/>
      <c r="AK227" s="456"/>
    </row>
    <row r="228" spans="2:43" ht="12.75" customHeight="1">
      <c r="B228" s="464" t="s">
        <v>2200</v>
      </c>
      <c r="C228" s="445"/>
      <c r="D228" s="64"/>
      <c r="E228" s="64"/>
      <c r="F228" s="64"/>
      <c r="G228" s="64"/>
      <c r="H228" s="446"/>
      <c r="I228" s="447"/>
      <c r="J228" s="447"/>
      <c r="K228" s="447"/>
      <c r="L228" s="448"/>
      <c r="M228" s="449"/>
      <c r="N228" s="104"/>
      <c r="O228" s="104"/>
      <c r="P228" s="104"/>
      <c r="Q228" s="450"/>
      <c r="R228" s="1310"/>
      <c r="S228" s="1310"/>
      <c r="T228" s="1310"/>
      <c r="U228" s="451"/>
      <c r="V228" s="451"/>
      <c r="W228" s="451"/>
      <c r="X228" s="452"/>
      <c r="Y228" s="447"/>
      <c r="Z228" s="447"/>
      <c r="AA228" s="447"/>
      <c r="AB228" s="447"/>
      <c r="AC228" s="447"/>
      <c r="AD228" s="447"/>
      <c r="AE228" s="447"/>
      <c r="AF228" s="448"/>
      <c r="AG228" s="453"/>
      <c r="AH228" s="454"/>
      <c r="AI228" s="104"/>
      <c r="AJ228" s="455"/>
      <c r="AK228" s="456"/>
    </row>
    <row r="229" spans="2:43" ht="12.75" customHeight="1">
      <c r="B229" s="464" t="s">
        <v>2201</v>
      </c>
      <c r="C229" s="445"/>
      <c r="D229" s="64"/>
      <c r="E229" s="64"/>
      <c r="F229" s="64"/>
      <c r="G229" s="64"/>
      <c r="H229" s="446"/>
      <c r="I229" s="447"/>
      <c r="J229" s="447"/>
      <c r="K229" s="447"/>
      <c r="L229" s="448"/>
      <c r="M229" s="449"/>
      <c r="N229" s="104"/>
      <c r="O229" s="104"/>
      <c r="P229" s="104"/>
      <c r="Q229" s="450"/>
      <c r="R229" s="1310"/>
      <c r="S229" s="1310"/>
      <c r="T229" s="1310"/>
      <c r="U229" s="451"/>
      <c r="V229" s="451"/>
      <c r="W229" s="451"/>
      <c r="X229" s="452"/>
      <c r="Y229" s="447"/>
      <c r="Z229" s="447"/>
      <c r="AA229" s="447"/>
      <c r="AB229" s="447"/>
      <c r="AC229" s="447"/>
      <c r="AD229" s="447"/>
      <c r="AE229" s="447"/>
      <c r="AF229" s="448"/>
      <c r="AG229" s="453"/>
      <c r="AH229" s="454"/>
      <c r="AI229" s="104"/>
      <c r="AJ229" s="455"/>
      <c r="AK229" s="456"/>
    </row>
    <row r="230" spans="2:43" ht="12.75" customHeight="1">
      <c r="B230" s="464" t="s">
        <v>2202</v>
      </c>
      <c r="C230" s="445"/>
      <c r="D230" s="64"/>
      <c r="E230" s="64"/>
      <c r="F230" s="64"/>
      <c r="G230" s="64"/>
      <c r="H230" s="446"/>
      <c r="I230" s="447"/>
      <c r="J230" s="447"/>
      <c r="K230" s="447"/>
      <c r="L230" s="448"/>
      <c r="M230" s="449"/>
      <c r="N230" s="104"/>
      <c r="O230" s="104"/>
      <c r="P230" s="104"/>
      <c r="Q230" s="450"/>
      <c r="R230" s="1310"/>
      <c r="S230" s="1310"/>
      <c r="T230" s="1310"/>
      <c r="U230" s="451"/>
      <c r="V230" s="451"/>
      <c r="W230" s="451"/>
      <c r="X230" s="452"/>
      <c r="Y230" s="447"/>
      <c r="Z230" s="447"/>
      <c r="AA230" s="447"/>
      <c r="AB230" s="447"/>
      <c r="AC230" s="447"/>
      <c r="AD230" s="447"/>
      <c r="AE230" s="447"/>
      <c r="AF230" s="448"/>
      <c r="AG230" s="453"/>
      <c r="AH230" s="454"/>
      <c r="AI230" s="104"/>
      <c r="AJ230" s="455"/>
      <c r="AK230" s="456"/>
    </row>
    <row r="231" spans="2:43" ht="12.75" customHeight="1">
      <c r="B231" s="464" t="s">
        <v>1835</v>
      </c>
      <c r="C231" s="445"/>
      <c r="D231" s="64"/>
      <c r="E231" s="64"/>
      <c r="F231" s="64"/>
      <c r="G231" s="64"/>
      <c r="H231" s="446"/>
      <c r="I231" s="447"/>
      <c r="J231" s="447"/>
      <c r="K231" s="447"/>
      <c r="L231" s="448"/>
      <c r="M231" s="449"/>
      <c r="N231" s="104"/>
      <c r="O231" s="104"/>
      <c r="P231" s="104"/>
      <c r="Q231" s="450"/>
      <c r="R231" s="1310"/>
      <c r="S231" s="1310"/>
      <c r="T231" s="1310"/>
      <c r="U231" s="451"/>
      <c r="V231" s="451"/>
      <c r="W231" s="451"/>
      <c r="X231" s="452"/>
      <c r="Y231" s="447"/>
      <c r="Z231" s="447"/>
      <c r="AA231" s="447"/>
      <c r="AB231" s="447"/>
      <c r="AC231" s="447"/>
      <c r="AD231" s="447"/>
      <c r="AE231" s="447"/>
      <c r="AF231" s="448"/>
      <c r="AG231" s="453"/>
      <c r="AH231" s="454"/>
      <c r="AI231" s="104"/>
      <c r="AJ231" s="455"/>
      <c r="AK231" s="456"/>
    </row>
    <row r="232" spans="2:43" ht="12.75" customHeight="1">
      <c r="B232" s="464" t="s">
        <v>1836</v>
      </c>
      <c r="C232" s="445"/>
      <c r="D232" s="64"/>
      <c r="E232" s="64"/>
      <c r="F232" s="64"/>
      <c r="G232" s="64"/>
      <c r="H232" s="446"/>
      <c r="I232" s="447"/>
      <c r="J232" s="447"/>
      <c r="K232" s="447"/>
      <c r="L232" s="448"/>
      <c r="M232" s="449"/>
      <c r="N232" s="104"/>
      <c r="O232" s="104"/>
      <c r="P232" s="104"/>
      <c r="Q232" s="450"/>
      <c r="R232" s="1310"/>
      <c r="S232" s="1310"/>
      <c r="T232" s="1310"/>
      <c r="U232" s="451"/>
      <c r="V232" s="451"/>
      <c r="W232" s="451"/>
      <c r="X232" s="452"/>
      <c r="Y232" s="447"/>
      <c r="Z232" s="447"/>
      <c r="AA232" s="447"/>
      <c r="AB232" s="447"/>
      <c r="AC232" s="447"/>
      <c r="AD232" s="447"/>
      <c r="AE232" s="447"/>
      <c r="AF232" s="448"/>
      <c r="AG232" s="453"/>
      <c r="AH232" s="454"/>
      <c r="AI232" s="104"/>
      <c r="AJ232" s="455"/>
      <c r="AK232" s="456"/>
    </row>
    <row r="233" spans="2:43" ht="12.75" customHeight="1">
      <c r="B233" s="465" t="s">
        <v>1837</v>
      </c>
      <c r="C233" s="466"/>
      <c r="D233" s="467"/>
      <c r="E233" s="467"/>
      <c r="F233" s="467"/>
      <c r="G233" s="467"/>
      <c r="H233" s="468"/>
      <c r="I233" s="469"/>
      <c r="J233" s="469"/>
      <c r="K233" s="469"/>
      <c r="L233" s="470"/>
      <c r="M233" s="471"/>
      <c r="N233" s="472"/>
      <c r="O233" s="472"/>
      <c r="P233" s="472"/>
      <c r="Q233" s="473"/>
      <c r="R233" s="1311"/>
      <c r="S233" s="1311"/>
      <c r="T233" s="1311"/>
      <c r="U233" s="474"/>
      <c r="V233" s="474"/>
      <c r="W233" s="474"/>
      <c r="X233" s="475"/>
      <c r="Y233" s="469"/>
      <c r="Z233" s="469"/>
      <c r="AA233" s="469"/>
      <c r="AB233" s="469"/>
      <c r="AC233" s="469"/>
      <c r="AD233" s="469"/>
      <c r="AE233" s="469"/>
      <c r="AF233" s="470"/>
      <c r="AG233" s="476"/>
      <c r="AH233" s="477"/>
      <c r="AI233" s="472"/>
      <c r="AJ233" s="478"/>
      <c r="AK233" s="444"/>
    </row>
    <row r="234" spans="2:43" ht="12.75" customHeight="1">
      <c r="B234" t="s">
        <v>1838</v>
      </c>
      <c r="C234" s="445">
        <v>1</v>
      </c>
      <c r="D234" s="64">
        <v>0</v>
      </c>
      <c r="E234" s="64">
        <v>0</v>
      </c>
      <c r="F234" s="64">
        <v>0</v>
      </c>
      <c r="G234" s="64">
        <v>0</v>
      </c>
      <c r="H234" s="446">
        <f t="shared" ref="H234:H284" si="58">SUM(C234:G234)</f>
        <v>1</v>
      </c>
      <c r="I234" s="447">
        <f>J$15</f>
        <v>0.39999999999999991</v>
      </c>
      <c r="J234" s="447">
        <f t="shared" ref="J234:J284" si="59">I234*$O$2</f>
        <v>16.065306122448977</v>
      </c>
      <c r="K234" s="94">
        <f>SUMPRODUCT($E$13:$E$15,$J$16:$J$18)</f>
        <v>20</v>
      </c>
      <c r="L234" s="448">
        <f t="shared" ref="L234:L284" si="60">J234+K234</f>
        <v>36.065306122448973</v>
      </c>
      <c r="M234" s="449">
        <f>SUMPRODUCT($C$13:$C$15,$J$16:$J$18)</f>
        <v>1</v>
      </c>
      <c r="N234" s="104">
        <f>SUMPRODUCT($D$13:$D$15,$J$16:$J$18)</f>
        <v>17.399999999999999</v>
      </c>
      <c r="O234" s="104">
        <v>0</v>
      </c>
      <c r="P234" s="104">
        <v>0</v>
      </c>
      <c r="Q234" s="450">
        <f t="shared" ref="Q234:Q243" si="61">IF(N234&gt;L234/sndeps,L234/sndeps,N234+(L234/sndeps-N234)*sndeps/eps)</f>
        <v>2.7387180339156001</v>
      </c>
      <c r="R234" s="1310">
        <f>(J$15+1-$J$15)*$O$2+25</f>
        <v>65.16326530612244</v>
      </c>
      <c r="S234" s="1310">
        <v>0</v>
      </c>
      <c r="T234" s="1310">
        <v>0</v>
      </c>
      <c r="U234" s="451">
        <f>IF(N234&gt;0,MIN(1,N234/Q234),0)</f>
        <v>1</v>
      </c>
      <c r="V234" s="451">
        <v>0</v>
      </c>
      <c r="W234" s="451">
        <v>0</v>
      </c>
      <c r="X234" s="452">
        <f t="shared" ref="X234:X284" si="62">MIN(1,H234*10/Q234)*fw+(1-(MIN(1,H234*10/Q234)))*1</f>
        <v>1</v>
      </c>
      <c r="Y234" s="447">
        <f t="shared" ref="Y234:Y284" si="63">(I234*avginst)*X234*$K$4</f>
        <v>382.44868430760147</v>
      </c>
      <c r="Z234" s="447">
        <f>Q234*U234*$O$6*(sndfact-1)*$K$4</f>
        <v>486.338989263499</v>
      </c>
      <c r="AA234" s="447">
        <v>0</v>
      </c>
      <c r="AB234" s="447">
        <v>0</v>
      </c>
      <c r="AC234" s="447">
        <v>0</v>
      </c>
      <c r="AD234" s="447">
        <v>0</v>
      </c>
      <c r="AE234" s="447">
        <v>0</v>
      </c>
      <c r="AF234" s="448">
        <f t="shared" ref="AF234:AF243" si="64">SUM(Y234:AE234)</f>
        <v>868.78767357110041</v>
      </c>
      <c r="AG234" s="453">
        <f t="shared" ref="AG234:AG265" si="65">IF(AND(forceea,W234=0),0,IF(time=0, AF234/Q234, IF(time&lt;Q234, 0, AF234/Q234))*AQ234)</f>
        <v>317.22421323124576</v>
      </c>
      <c r="AH234" s="454">
        <f>N234-$Q234</f>
        <v>14.661281966084399</v>
      </c>
      <c r="AI234" s="104">
        <v>0</v>
      </c>
      <c r="AJ234" s="455">
        <v>0</v>
      </c>
      <c r="AK234" s="456" t="str">
        <f>IF(instatk="Mut","1-3s",IF(Sealfate&gt;0,"1-2s","1s"))</f>
        <v>1s</v>
      </c>
      <c r="AL234" t="str">
        <f>IF(AND(OR(allowrupt,NOT(D234)),OR(AND(poison,allowenv),NOT(F234)),$X$2-AG234&lt;50),MAX($AL$55:$AL233)+1,"")</f>
        <v/>
      </c>
      <c r="AQ234" t="b">
        <v>1</v>
      </c>
    </row>
    <row r="235" spans="2:43" ht="12.75" customHeight="1">
      <c r="B235" t="s">
        <v>1839</v>
      </c>
      <c r="C235" s="445">
        <v>1</v>
      </c>
      <c r="D235" s="64">
        <v>0</v>
      </c>
      <c r="E235" s="64">
        <v>0</v>
      </c>
      <c r="F235" s="64">
        <v>0</v>
      </c>
      <c r="G235" s="64">
        <v>0</v>
      </c>
      <c r="H235" s="446">
        <f t="shared" si="58"/>
        <v>1</v>
      </c>
      <c r="I235" s="447">
        <f>K$15</f>
        <v>1.4</v>
      </c>
      <c r="J235" s="447">
        <f t="shared" si="59"/>
        <v>56.228571428571421</v>
      </c>
      <c r="K235" s="94">
        <f>SUMPRODUCT($E$14:$E$16,$K$16:$K$18)</f>
        <v>15</v>
      </c>
      <c r="L235" s="448">
        <f t="shared" si="60"/>
        <v>71.228571428571428</v>
      </c>
      <c r="M235" s="449">
        <f>SUMPRODUCT($C$14:$C$16,$K$16:$K$18)</f>
        <v>2</v>
      </c>
      <c r="N235" s="104">
        <f>SUMPRODUCT($D$14:$D$16,$K$16:$K$18)</f>
        <v>21.75</v>
      </c>
      <c r="O235" s="104">
        <v>0</v>
      </c>
      <c r="P235" s="104">
        <v>0</v>
      </c>
      <c r="Q235" s="450">
        <f t="shared" si="61"/>
        <v>5.4089371219851907</v>
      </c>
      <c r="R235" s="1310">
        <f>(K$15+1-$J$15)*$O$2+25</f>
        <v>105.32653061224489</v>
      </c>
      <c r="S235" s="1310">
        <v>0</v>
      </c>
      <c r="T235" s="1310">
        <v>0</v>
      </c>
      <c r="U235" s="451">
        <f>IF(N235&gt;0,MIN(1,N235/Q235),0)</f>
        <v>1</v>
      </c>
      <c r="V235" s="451">
        <v>0</v>
      </c>
      <c r="W235" s="451">
        <v>0</v>
      </c>
      <c r="X235" s="452">
        <f t="shared" si="62"/>
        <v>1</v>
      </c>
      <c r="Y235" s="447">
        <f t="shared" si="63"/>
        <v>1338.5703950766056</v>
      </c>
      <c r="Z235" s="447">
        <f>Q235*U235*$O$6*(sndfact-1)*$K$4</f>
        <v>960.51399973260789</v>
      </c>
      <c r="AA235" s="447">
        <v>0</v>
      </c>
      <c r="AB235" s="447">
        <v>0</v>
      </c>
      <c r="AC235" s="447">
        <v>0</v>
      </c>
      <c r="AD235" s="447">
        <v>0</v>
      </c>
      <c r="AE235" s="447">
        <v>0</v>
      </c>
      <c r="AF235" s="448">
        <f t="shared" si="64"/>
        <v>2299.0843948092133</v>
      </c>
      <c r="AG235" s="453">
        <f t="shared" si="65"/>
        <v>425.05289726226329</v>
      </c>
      <c r="AH235" s="454">
        <f>N235-$Q235</f>
        <v>16.34106287801481</v>
      </c>
      <c r="AI235" s="104">
        <v>0</v>
      </c>
      <c r="AJ235" s="455">
        <v>0</v>
      </c>
      <c r="AK235" s="456" t="str">
        <f>IF(instatk="Mut","2-4s",IF(Sealfate&gt;0,"2-3s","2s"))</f>
        <v>2s</v>
      </c>
      <c r="AL235" t="str">
        <f>IF(AND(OR(allowrupt,NOT(D235)),OR(AND(poison,allowenv),NOT(F235)),$X$2-AG235&lt;50),MAX($AL$55:$AL234)+1,"")</f>
        <v/>
      </c>
      <c r="AQ235" t="b">
        <v>1</v>
      </c>
    </row>
    <row r="236" spans="2:43" ht="12.75" customHeight="1">
      <c r="B236" t="s">
        <v>1840</v>
      </c>
      <c r="C236" s="445">
        <v>1</v>
      </c>
      <c r="D236" s="64">
        <v>0</v>
      </c>
      <c r="E236" s="64">
        <v>0</v>
      </c>
      <c r="F236" s="64">
        <v>0</v>
      </c>
      <c r="G236" s="64">
        <v>0</v>
      </c>
      <c r="H236" s="446">
        <f t="shared" si="58"/>
        <v>1</v>
      </c>
      <c r="I236" s="447">
        <f>L$15</f>
        <v>2.4</v>
      </c>
      <c r="J236" s="447">
        <f t="shared" si="59"/>
        <v>96.391836734693868</v>
      </c>
      <c r="K236" s="94">
        <f>SUMPRODUCT($E$15:$E$17,$L$16:$L$18)</f>
        <v>10</v>
      </c>
      <c r="L236" s="448">
        <f t="shared" si="60"/>
        <v>106.39183673469387</v>
      </c>
      <c r="M236" s="449">
        <f>SUMPRODUCT($C$15:$C$17,$L$16:$L$18)</f>
        <v>3</v>
      </c>
      <c r="N236" s="104">
        <f>SUMPRODUCT($D$15:$D$17,$L$16:$L$18)</f>
        <v>26.099999999999998</v>
      </c>
      <c r="O236" s="104">
        <v>0</v>
      </c>
      <c r="P236" s="104">
        <v>0</v>
      </c>
      <c r="Q236" s="450">
        <f t="shared" si="61"/>
        <v>8.07915621005478</v>
      </c>
      <c r="R236" s="1310">
        <f>(L$15+1-$J$15)*$O$2+25</f>
        <v>145.48979591836735</v>
      </c>
      <c r="S236" s="1310">
        <v>0</v>
      </c>
      <c r="T236" s="1310">
        <v>0</v>
      </c>
      <c r="U236" s="451">
        <f>IF(N236&gt;0,MIN(1,N236/Q236),0)</f>
        <v>1</v>
      </c>
      <c r="V236" s="451">
        <v>0</v>
      </c>
      <c r="W236" s="451">
        <v>0</v>
      </c>
      <c r="X236" s="452">
        <f t="shared" si="62"/>
        <v>1</v>
      </c>
      <c r="Y236" s="447">
        <f t="shared" si="63"/>
        <v>2294.6921058456096</v>
      </c>
      <c r="Z236" s="447">
        <f>Q236*U236*$O$6*(sndfact-1)*$K$4</f>
        <v>1434.6890102017164</v>
      </c>
      <c r="AA236" s="447">
        <v>0</v>
      </c>
      <c r="AB236" s="447">
        <v>0</v>
      </c>
      <c r="AC236" s="447">
        <v>0</v>
      </c>
      <c r="AD236" s="447">
        <v>0</v>
      </c>
      <c r="AE236" s="447">
        <v>0</v>
      </c>
      <c r="AF236" s="448">
        <f t="shared" si="64"/>
        <v>3729.381116047326</v>
      </c>
      <c r="AG236" s="453">
        <f t="shared" si="65"/>
        <v>461.60527400200363</v>
      </c>
      <c r="AH236" s="454">
        <f>N236-$Q236</f>
        <v>18.020843789945218</v>
      </c>
      <c r="AI236" s="104">
        <v>0</v>
      </c>
      <c r="AJ236" s="455">
        <v>0</v>
      </c>
      <c r="AK236" s="456" t="str">
        <f>IF(instatk="Mut","3-5s",IF(Sealfate&gt;0,"3-4s","3s"))</f>
        <v>3s</v>
      </c>
      <c r="AL236" t="str">
        <f>IF(AND(OR(allowrupt,NOT(D236)),OR(AND(poison,allowenv),NOT(F236)),$X$2-AG236&lt;50),MAX($AL$55:$AL235)+1,"")</f>
        <v/>
      </c>
      <c r="AQ236" t="b">
        <v>1</v>
      </c>
    </row>
    <row r="237" spans="2:43" ht="12.75" customHeight="1">
      <c r="B237" t="s">
        <v>509</v>
      </c>
      <c r="C237" s="445">
        <v>1</v>
      </c>
      <c r="D237" s="64">
        <v>0</v>
      </c>
      <c r="E237" s="64">
        <v>0</v>
      </c>
      <c r="F237" s="64">
        <v>0</v>
      </c>
      <c r="G237" s="64">
        <v>0</v>
      </c>
      <c r="H237" s="446">
        <f t="shared" si="58"/>
        <v>1</v>
      </c>
      <c r="I237" s="447">
        <f>M$15</f>
        <v>3.4</v>
      </c>
      <c r="J237" s="447">
        <f t="shared" si="59"/>
        <v>136.55510204081631</v>
      </c>
      <c r="K237" s="94">
        <f>SUMPRODUCT($E$16:$E$18,$M$16:$M$18)</f>
        <v>5</v>
      </c>
      <c r="L237" s="448">
        <f t="shared" si="60"/>
        <v>141.55510204081631</v>
      </c>
      <c r="M237" s="449">
        <f>SUMPRODUCT($C$16:$C$18,$M$16:$M$18)</f>
        <v>4</v>
      </c>
      <c r="N237" s="104">
        <f>SUMPRODUCT($D$16:$D$18,$M$16:$M$18)</f>
        <v>30.45</v>
      </c>
      <c r="O237" s="104">
        <v>0</v>
      </c>
      <c r="P237" s="104">
        <v>0</v>
      </c>
      <c r="Q237" s="450">
        <f t="shared" si="61"/>
        <v>10.74937529812437</v>
      </c>
      <c r="R237" s="1310">
        <f>(M$15+1-$J$15)*$O$2+25</f>
        <v>185.65306122448979</v>
      </c>
      <c r="S237" s="1310">
        <v>0</v>
      </c>
      <c r="T237" s="1310">
        <v>0</v>
      </c>
      <c r="U237" s="451">
        <f>IF(N237&gt;0,MIN(1,N237/Q237),0)</f>
        <v>1</v>
      </c>
      <c r="V237" s="451">
        <v>0</v>
      </c>
      <c r="W237" s="451">
        <v>0</v>
      </c>
      <c r="X237" s="452">
        <f t="shared" si="62"/>
        <v>1</v>
      </c>
      <c r="Y237" s="447">
        <f t="shared" si="63"/>
        <v>3250.8138166146132</v>
      </c>
      <c r="Z237" s="447">
        <f>Q237*U237*$O$6*(sndfact-1)*$K$4</f>
        <v>1908.8640206708253</v>
      </c>
      <c r="AA237" s="447">
        <v>0</v>
      </c>
      <c r="AB237" s="447">
        <v>0</v>
      </c>
      <c r="AC237" s="447">
        <v>0</v>
      </c>
      <c r="AD237" s="447">
        <v>0</v>
      </c>
      <c r="AE237" s="447">
        <v>0</v>
      </c>
      <c r="AF237" s="448">
        <f t="shared" si="64"/>
        <v>5159.6778372854387</v>
      </c>
      <c r="AG237" s="453">
        <f t="shared" si="65"/>
        <v>479.99792491994742</v>
      </c>
      <c r="AH237" s="454">
        <f>N237-$Q237</f>
        <v>19.700624701875629</v>
      </c>
      <c r="AI237" s="104">
        <v>0</v>
      </c>
      <c r="AJ237" s="455">
        <v>0</v>
      </c>
      <c r="AK237" s="456" t="str">
        <f>IF(instatk="Mut","4-5s",IF(Sealfate&gt;0,"4-5s","4s"))</f>
        <v>4s</v>
      </c>
      <c r="AL237" t="str">
        <f>IF(AND(OR(allowrupt,NOT(D237)),OR(AND(poison,allowenv),NOT(F237)),$X$2-AG237&lt;50),MAX($AL$55:$AL236)+1,"")</f>
        <v/>
      </c>
      <c r="AQ237" t="b">
        <v>1</v>
      </c>
    </row>
    <row r="238" spans="2:43" ht="12.75" customHeight="1">
      <c r="B238" t="s">
        <v>1904</v>
      </c>
      <c r="C238" s="445">
        <v>1</v>
      </c>
      <c r="D238" s="64">
        <v>0</v>
      </c>
      <c r="E238" s="64">
        <v>0</v>
      </c>
      <c r="F238" s="64">
        <v>0</v>
      </c>
      <c r="G238" s="64">
        <v>0</v>
      </c>
      <c r="H238" s="446">
        <f t="shared" si="58"/>
        <v>1</v>
      </c>
      <c r="I238" s="447">
        <f>N$15</f>
        <v>4.4000000000000004</v>
      </c>
      <c r="J238" s="447">
        <f t="shared" si="59"/>
        <v>176.71836734693878</v>
      </c>
      <c r="K238" s="94">
        <f>SUMPRODUCT($E$17:$E$19,$N$16:$N$18)</f>
        <v>0</v>
      </c>
      <c r="L238" s="448">
        <f t="shared" si="60"/>
        <v>176.71836734693878</v>
      </c>
      <c r="M238" s="449">
        <f>SUMPRODUCT($C$17:$C$19,$N$16:$N$18)</f>
        <v>5</v>
      </c>
      <c r="N238" s="104">
        <f>SUMPRODUCT($D$17:$D$19,$N$16:$N$18)</f>
        <v>34.799999999999997</v>
      </c>
      <c r="O238" s="104">
        <v>0</v>
      </c>
      <c r="P238" s="104">
        <v>0</v>
      </c>
      <c r="Q238" s="450">
        <f t="shared" si="61"/>
        <v>13.419594386193962</v>
      </c>
      <c r="R238" s="1310">
        <f>(N$15+1-$J$15)*$O$2+25</f>
        <v>225.81632653061223</v>
      </c>
      <c r="S238" s="1310">
        <v>0</v>
      </c>
      <c r="T238" s="1310">
        <v>0</v>
      </c>
      <c r="U238" s="451">
        <f>IF(N238&gt;0,MIN(1,N238/Q238),0)</f>
        <v>1</v>
      </c>
      <c r="V238" s="451">
        <v>0</v>
      </c>
      <c r="W238" s="451">
        <v>0</v>
      </c>
      <c r="X238" s="452">
        <f t="shared" si="62"/>
        <v>1</v>
      </c>
      <c r="Y238" s="447">
        <f t="shared" si="63"/>
        <v>4206.9355273836181</v>
      </c>
      <c r="Z238" s="447">
        <f>Q238*U238*$O$6*(sndfact-1)*$K$4</f>
        <v>2383.0390311399347</v>
      </c>
      <c r="AA238" s="447">
        <v>0</v>
      </c>
      <c r="AB238" s="447">
        <v>0</v>
      </c>
      <c r="AC238" s="447">
        <v>0</v>
      </c>
      <c r="AD238" s="447">
        <v>0</v>
      </c>
      <c r="AE238" s="447">
        <v>0</v>
      </c>
      <c r="AF238" s="448">
        <f t="shared" si="64"/>
        <v>6589.9745585235523</v>
      </c>
      <c r="AG238" s="453">
        <f t="shared" si="65"/>
        <v>491.07106883225163</v>
      </c>
      <c r="AH238" s="454">
        <f>N238-$Q238</f>
        <v>21.380405613806033</v>
      </c>
      <c r="AI238" s="104">
        <v>0</v>
      </c>
      <c r="AJ238" s="455">
        <v>0</v>
      </c>
      <c r="AK238" s="456" t="str">
        <f>IF(instatk="Mut","5-5s",IF(Sealfate&gt;0,"5-5s","5s"))</f>
        <v>5s</v>
      </c>
      <c r="AL238" t="str">
        <f>IF(AND(OR(allowrupt,NOT(D238)),OR(AND(poison,allowenv),NOT(F238)),$X$2-AG238&lt;50),MAX($AL$55:$AL237)+1,"")</f>
        <v/>
      </c>
      <c r="AQ238" t="b">
        <v>1</v>
      </c>
    </row>
    <row r="239" spans="2:43">
      <c r="B239" t="s">
        <v>1841</v>
      </c>
      <c r="C239" s="445">
        <v>0</v>
      </c>
      <c r="D239" s="64">
        <v>0</v>
      </c>
      <c r="E239">
        <v>1</v>
      </c>
      <c r="F239" s="64">
        <v>0</v>
      </c>
      <c r="G239" s="64">
        <v>0</v>
      </c>
      <c r="H239" s="446">
        <f t="shared" si="58"/>
        <v>1</v>
      </c>
      <c r="I239" s="447">
        <f>J$15</f>
        <v>0.39999999999999991</v>
      </c>
      <c r="J239" s="447">
        <f t="shared" si="59"/>
        <v>16.065306122448977</v>
      </c>
      <c r="K239" s="94">
        <f>SUMPRODUCT($E$20:$E$22,$J$16:$J$18)</f>
        <v>30</v>
      </c>
      <c r="L239" s="448">
        <f t="shared" si="60"/>
        <v>46.065306122448973</v>
      </c>
      <c r="M239" s="449">
        <f>SUMPRODUCT($C$20:$C$22,$J$16:$J$18)</f>
        <v>1</v>
      </c>
      <c r="N239">
        <v>0</v>
      </c>
      <c r="O239" s="104">
        <v>0</v>
      </c>
      <c r="P239" s="104">
        <v>0</v>
      </c>
      <c r="Q239" s="450">
        <f t="shared" si="61"/>
        <v>3.7164006948969361</v>
      </c>
      <c r="R239" s="1310">
        <v>0</v>
      </c>
      <c r="S239" s="1310">
        <v>0</v>
      </c>
      <c r="T239" s="1310">
        <v>0</v>
      </c>
      <c r="U239" s="451">
        <v>0</v>
      </c>
      <c r="V239" s="451">
        <v>0</v>
      </c>
      <c r="W239" s="451">
        <v>0</v>
      </c>
      <c r="X239" s="452">
        <f t="shared" si="62"/>
        <v>1</v>
      </c>
      <c r="Y239" s="447">
        <f t="shared" si="63"/>
        <v>382.44868430760147</v>
      </c>
      <c r="Z239" s="159">
        <v>0</v>
      </c>
      <c r="AA239" s="447">
        <v>0</v>
      </c>
      <c r="AB239">
        <f>SUMPRODUCT($F$20:$F$22,$J$16:$J$18)*X239</f>
        <v>384.02905544238831</v>
      </c>
      <c r="AC239" s="447">
        <v>0</v>
      </c>
      <c r="AD239" s="447">
        <v>0</v>
      </c>
      <c r="AE239" s="447">
        <v>0</v>
      </c>
      <c r="AF239" s="448">
        <f t="shared" si="64"/>
        <v>766.47773974998972</v>
      </c>
      <c r="AG239" s="453">
        <f t="shared" si="65"/>
        <v>206.24195361992466</v>
      </c>
      <c r="AH239" s="454">
        <v>0</v>
      </c>
      <c r="AI239" s="104">
        <v>0</v>
      </c>
      <c r="AJ239" s="455">
        <v>0</v>
      </c>
      <c r="AK239" s="456" t="str">
        <f>IF(instatk="Mut","1-3e",IF(Sealfate&gt;0,"1-2e","1e"))</f>
        <v>1e</v>
      </c>
      <c r="AL239" t="str">
        <f>IF(AND(OR(allowrupt,NOT(D239)),OR(AND(poison,allowenv),NOT(F239)),$X$2-AG239&lt;50),MAX($AL$55:$AL238)+1,"")</f>
        <v/>
      </c>
      <c r="AQ239" t="b">
        <v>1</v>
      </c>
    </row>
    <row r="240" spans="2:43">
      <c r="B240" t="s">
        <v>1842</v>
      </c>
      <c r="C240" s="445">
        <v>0</v>
      </c>
      <c r="D240" s="64">
        <v>0</v>
      </c>
      <c r="E240">
        <v>1</v>
      </c>
      <c r="F240" s="64">
        <v>0</v>
      </c>
      <c r="G240" s="64">
        <v>0</v>
      </c>
      <c r="H240" s="446">
        <f t="shared" si="58"/>
        <v>1</v>
      </c>
      <c r="I240" s="447">
        <f>K$15</f>
        <v>1.4</v>
      </c>
      <c r="J240" s="447">
        <f t="shared" si="59"/>
        <v>56.228571428571421</v>
      </c>
      <c r="K240" s="94">
        <f>SUMPRODUCT($E$21:$E$23,$K$16:$K$18)</f>
        <v>25</v>
      </c>
      <c r="L240" s="448">
        <f t="shared" si="60"/>
        <v>81.228571428571428</v>
      </c>
      <c r="M240" s="449">
        <f>SUMPRODUCT($C$21:$C$23,$K$16:$K$18)</f>
        <v>2</v>
      </c>
      <c r="N240">
        <v>0</v>
      </c>
      <c r="O240" s="104">
        <v>0</v>
      </c>
      <c r="P240" s="104">
        <v>0</v>
      </c>
      <c r="Q240" s="450">
        <f t="shared" si="61"/>
        <v>6.5532598111947493</v>
      </c>
      <c r="R240" s="1310">
        <v>0</v>
      </c>
      <c r="S240" s="1310">
        <v>0</v>
      </c>
      <c r="T240" s="1310">
        <v>0</v>
      </c>
      <c r="U240" s="451">
        <v>0</v>
      </c>
      <c r="V240" s="451">
        <v>0</v>
      </c>
      <c r="W240" s="451">
        <v>0</v>
      </c>
      <c r="X240" s="452">
        <f t="shared" si="62"/>
        <v>1</v>
      </c>
      <c r="Y240" s="447">
        <f t="shared" si="63"/>
        <v>1338.5703950766056</v>
      </c>
      <c r="Z240" s="159">
        <v>0</v>
      </c>
      <c r="AA240" s="447">
        <v>0</v>
      </c>
      <c r="AB240">
        <f>SUMPRODUCT($F$21:$F$23,$K$16:$K$18)*X240</f>
        <v>652.8395626965472</v>
      </c>
      <c r="AC240" s="447">
        <v>0</v>
      </c>
      <c r="AD240" s="447">
        <v>0</v>
      </c>
      <c r="AE240" s="447">
        <v>0</v>
      </c>
      <c r="AF240" s="448">
        <f t="shared" si="64"/>
        <v>1991.4099577731527</v>
      </c>
      <c r="AG240" s="453">
        <f t="shared" si="65"/>
        <v>303.88081888212076</v>
      </c>
      <c r="AH240" s="454">
        <v>0</v>
      </c>
      <c r="AI240" s="104">
        <v>0</v>
      </c>
      <c r="AJ240" s="455">
        <v>0</v>
      </c>
      <c r="AK240" s="456" t="str">
        <f>IF(instatk="Mut","2-4e",IF(Sealfate&gt;0,"2-3e","2e"))</f>
        <v>2e</v>
      </c>
      <c r="AL240" t="str">
        <f>IF(AND(OR(allowrupt,NOT(D240)),OR(AND(poison,allowenv),NOT(F240)),$X$2-AG240&lt;50),MAX($AL$55:$AL239)+1,"")</f>
        <v/>
      </c>
      <c r="AQ240" t="b">
        <v>1</v>
      </c>
    </row>
    <row r="241" spans="2:43">
      <c r="B241" t="s">
        <v>1843</v>
      </c>
      <c r="C241" s="445">
        <v>0</v>
      </c>
      <c r="D241" s="64">
        <v>0</v>
      </c>
      <c r="E241">
        <v>1</v>
      </c>
      <c r="F241" s="64">
        <v>0</v>
      </c>
      <c r="G241" s="64">
        <v>0</v>
      </c>
      <c r="H241" s="446">
        <f t="shared" si="58"/>
        <v>1</v>
      </c>
      <c r="I241" s="447">
        <f>L$15</f>
        <v>2.4</v>
      </c>
      <c r="J241" s="447">
        <f t="shared" si="59"/>
        <v>96.391836734693868</v>
      </c>
      <c r="K241" s="94">
        <f>SUMPRODUCT($E$22:$E$24,$L$16:$L$18)</f>
        <v>20</v>
      </c>
      <c r="L241" s="448">
        <f t="shared" si="60"/>
        <v>116.39183673469387</v>
      </c>
      <c r="M241" s="449">
        <f>SUMPRODUCT($C$22:$C$24,$L$16:$L$18)</f>
        <v>3</v>
      </c>
      <c r="N241">
        <v>0</v>
      </c>
      <c r="O241" s="104">
        <v>0</v>
      </c>
      <c r="P241" s="104">
        <v>0</v>
      </c>
      <c r="Q241" s="450">
        <f t="shared" si="61"/>
        <v>9.3901189274925603</v>
      </c>
      <c r="R241" s="1310">
        <v>0</v>
      </c>
      <c r="S241" s="1310">
        <v>0</v>
      </c>
      <c r="T241" s="1310">
        <v>0</v>
      </c>
      <c r="U241" s="451">
        <v>0</v>
      </c>
      <c r="V241" s="451">
        <v>0</v>
      </c>
      <c r="W241" s="451">
        <v>0</v>
      </c>
      <c r="X241" s="452">
        <f t="shared" si="62"/>
        <v>1</v>
      </c>
      <c r="Y241" s="447">
        <f t="shared" si="63"/>
        <v>2294.6921058456096</v>
      </c>
      <c r="Z241" s="159">
        <v>0</v>
      </c>
      <c r="AA241" s="447">
        <v>0</v>
      </c>
      <c r="AB241">
        <f>SUMPRODUCT($F$22:$F$24,$L$16:$L$18)*X241</f>
        <v>921.65006995070587</v>
      </c>
      <c r="AC241" s="447">
        <v>0</v>
      </c>
      <c r="AD241" s="447">
        <v>0</v>
      </c>
      <c r="AE241" s="447">
        <v>0</v>
      </c>
      <c r="AF241" s="448">
        <f t="shared" si="64"/>
        <v>3216.3421757963156</v>
      </c>
      <c r="AG241" s="453">
        <f t="shared" si="65"/>
        <v>342.52411504389477</v>
      </c>
      <c r="AH241" s="454">
        <v>0</v>
      </c>
      <c r="AI241" s="104">
        <v>0</v>
      </c>
      <c r="AJ241" s="455">
        <v>0</v>
      </c>
      <c r="AK241" s="456" t="str">
        <f>IF(instatk="Mut","3-5e",IF(Sealfate&gt;0,"3-4e","3e"))</f>
        <v>3e</v>
      </c>
      <c r="AL241" t="str">
        <f>IF(AND(OR(allowrupt,NOT(D241)),OR(AND(poison,allowenv),NOT(F241)),$X$2-AG241&lt;50),MAX($AL$55:$AL240)+1,"")</f>
        <v/>
      </c>
      <c r="AQ241" t="b">
        <v>1</v>
      </c>
    </row>
    <row r="242" spans="2:43">
      <c r="B242" t="s">
        <v>193</v>
      </c>
      <c r="C242" s="445">
        <v>0</v>
      </c>
      <c r="D242" s="64">
        <v>0</v>
      </c>
      <c r="E242">
        <v>1</v>
      </c>
      <c r="F242" s="64">
        <v>0</v>
      </c>
      <c r="G242" s="64">
        <v>0</v>
      </c>
      <c r="H242" s="446">
        <f t="shared" si="58"/>
        <v>1</v>
      </c>
      <c r="I242" s="447">
        <f>M$15</f>
        <v>3.4</v>
      </c>
      <c r="J242" s="447">
        <f t="shared" si="59"/>
        <v>136.55510204081631</v>
      </c>
      <c r="K242" s="94">
        <f>SUMPRODUCT($E$23:$E$25,$M$16:$M$18)</f>
        <v>15</v>
      </c>
      <c r="L242" s="448">
        <f t="shared" si="60"/>
        <v>151.55510204081631</v>
      </c>
      <c r="M242" s="449">
        <f>SUMPRODUCT($C$23:$C$25,$M$16:$M$18)</f>
        <v>4</v>
      </c>
      <c r="N242">
        <v>0</v>
      </c>
      <c r="O242" s="104">
        <v>0</v>
      </c>
      <c r="P242" s="104">
        <v>0</v>
      </c>
      <c r="Q242" s="450">
        <f t="shared" si="61"/>
        <v>12.226978043790373</v>
      </c>
      <c r="R242" s="1310">
        <v>0</v>
      </c>
      <c r="S242" s="1310">
        <v>0</v>
      </c>
      <c r="T242" s="1310">
        <v>0</v>
      </c>
      <c r="U242" s="451">
        <v>0</v>
      </c>
      <c r="V242" s="451">
        <v>0</v>
      </c>
      <c r="W242" s="451">
        <v>0</v>
      </c>
      <c r="X242" s="452">
        <f t="shared" si="62"/>
        <v>1</v>
      </c>
      <c r="Y242" s="447">
        <f t="shared" si="63"/>
        <v>3250.8138166146132</v>
      </c>
      <c r="Z242" s="159">
        <v>0</v>
      </c>
      <c r="AA242" s="447">
        <v>0</v>
      </c>
      <c r="AB242">
        <f>SUMPRODUCT($F$23:$F$25,$M$16:$M$18)*X242</f>
        <v>1190.4605772048644</v>
      </c>
      <c r="AC242" s="447">
        <v>0</v>
      </c>
      <c r="AD242" s="447">
        <v>0</v>
      </c>
      <c r="AE242" s="447">
        <v>0</v>
      </c>
      <c r="AF242" s="448">
        <f t="shared" si="64"/>
        <v>4441.2743938194781</v>
      </c>
      <c r="AG242" s="453">
        <f t="shared" si="65"/>
        <v>363.23565626054557</v>
      </c>
      <c r="AH242" s="454">
        <v>0</v>
      </c>
      <c r="AI242" s="104">
        <v>0</v>
      </c>
      <c r="AJ242" s="455">
        <v>0</v>
      </c>
      <c r="AK242" s="456" t="str">
        <f>IF(instatk="Mut","4-5e",IF(Sealfate&gt;0,"4-5e","4e"))</f>
        <v>4e</v>
      </c>
      <c r="AL242" t="str">
        <f>IF(AND(OR(allowrupt,NOT(D242)),OR(AND(poison,allowenv),NOT(F242)),$X$2-AG242&lt;50),MAX($AL$55:$AL241)+1,"")</f>
        <v/>
      </c>
      <c r="AQ242" t="b">
        <v>1</v>
      </c>
    </row>
    <row r="243" spans="2:43">
      <c r="B243" t="s">
        <v>1905</v>
      </c>
      <c r="C243" s="445">
        <v>0</v>
      </c>
      <c r="D243" s="64">
        <v>0</v>
      </c>
      <c r="E243">
        <v>1</v>
      </c>
      <c r="F243" s="64">
        <v>0</v>
      </c>
      <c r="G243" s="64">
        <v>0</v>
      </c>
      <c r="H243" s="446">
        <f t="shared" si="58"/>
        <v>1</v>
      </c>
      <c r="I243" s="447">
        <f>N$15</f>
        <v>4.4000000000000004</v>
      </c>
      <c r="J243" s="447">
        <f t="shared" si="59"/>
        <v>176.71836734693878</v>
      </c>
      <c r="K243" s="94">
        <f>SUMPRODUCT($E$24:$E$26,$N$16:$N$18)</f>
        <v>10</v>
      </c>
      <c r="L243" s="448">
        <f t="shared" si="60"/>
        <v>186.71836734693878</v>
      </c>
      <c r="M243" s="449">
        <f>SUMPRODUCT($C$24:$C$26,$N$16:$N$18)</f>
        <v>5</v>
      </c>
      <c r="N243">
        <v>0</v>
      </c>
      <c r="O243" s="104">
        <v>0</v>
      </c>
      <c r="P243" s="104">
        <v>0</v>
      </c>
      <c r="Q243" s="450">
        <f t="shared" si="61"/>
        <v>15.063837160088186</v>
      </c>
      <c r="R243" s="1310">
        <v>0</v>
      </c>
      <c r="S243" s="1310">
        <v>0</v>
      </c>
      <c r="T243" s="1310">
        <v>0</v>
      </c>
      <c r="U243" s="451">
        <v>0</v>
      </c>
      <c r="V243" s="451">
        <v>0</v>
      </c>
      <c r="W243" s="451">
        <v>0</v>
      </c>
      <c r="X243" s="452">
        <f t="shared" si="62"/>
        <v>1</v>
      </c>
      <c r="Y243" s="447">
        <f t="shared" si="63"/>
        <v>4206.9355273836181</v>
      </c>
      <c r="Z243" s="159">
        <v>0</v>
      </c>
      <c r="AA243" s="447">
        <v>0</v>
      </c>
      <c r="AB243">
        <f>SUMPRODUCT($F$24:$F$26,$N$16:$N$18)*X243</f>
        <v>1459.2710844590233</v>
      </c>
      <c r="AC243" s="447">
        <v>0</v>
      </c>
      <c r="AD243" s="447">
        <v>0</v>
      </c>
      <c r="AE243" s="447">
        <v>0</v>
      </c>
      <c r="AF243" s="448">
        <f t="shared" si="64"/>
        <v>5666.206611842641</v>
      </c>
      <c r="AG243" s="453">
        <f t="shared" si="65"/>
        <v>376.14630001812037</v>
      </c>
      <c r="AH243" s="454">
        <v>0</v>
      </c>
      <c r="AI243" s="104">
        <v>0</v>
      </c>
      <c r="AJ243" s="455">
        <v>0</v>
      </c>
      <c r="AK243" s="456" t="str">
        <f>IF(instatk="Mut","5-5e",IF(Sealfate&gt;0,"5-5e","5e"))</f>
        <v>5e</v>
      </c>
      <c r="AL243" t="str">
        <f>IF(AND(OR(allowrupt,NOT(D243)),OR(AND(poison,allowenv),NOT(F243)),$X$2-AG243&lt;50),MAX($AL$55:$AL242)+1,"")</f>
        <v/>
      </c>
      <c r="AQ243" t="b">
        <v>1</v>
      </c>
    </row>
    <row r="244" spans="2:43">
      <c r="B244" t="s">
        <v>218</v>
      </c>
      <c r="C244" s="445">
        <v>1</v>
      </c>
      <c r="D244" s="64">
        <v>0</v>
      </c>
      <c r="E244" s="64">
        <v>1</v>
      </c>
      <c r="F244" s="64">
        <v>0</v>
      </c>
      <c r="G244" s="64">
        <v>0</v>
      </c>
      <c r="H244" s="446">
        <f t="shared" si="58"/>
        <v>2</v>
      </c>
      <c r="I244" s="447">
        <f>J$15+L$15</f>
        <v>2.8</v>
      </c>
      <c r="J244" s="447">
        <f t="shared" si="59"/>
        <v>112.45714285714284</v>
      </c>
      <c r="K244" s="447">
        <f>SUMPRODUCT($E$13:$E$15,$J$16:$J$18)+SUMPRODUCT($E$22:$E$24,$L$16:$L$18)</f>
        <v>40</v>
      </c>
      <c r="L244" s="448">
        <f t="shared" si="60"/>
        <v>152.45714285714286</v>
      </c>
      <c r="M244" s="449">
        <f>SUMPRODUCT($C$13:$C$15,$J$16:$J$18)+SUMPRODUCT($C$22:$C$24,$L$16:$L$18)</f>
        <v>4</v>
      </c>
      <c r="N244" s="104">
        <f>SUMPRODUCT($D$13:$D$15,$J$16:$J$18)</f>
        <v>17.399999999999999</v>
      </c>
      <c r="O244" s="104">
        <v>0</v>
      </c>
      <c r="P244" s="104">
        <v>0</v>
      </c>
      <c r="Q244" s="450">
        <f t="shared" ref="Q244:Q259" si="66">IF(N244&gt;L244/sndeps,L244/sndeps,N244+(L244/sndeps-N244)*sndeps/eps)</f>
        <v>11.577251697919365</v>
      </c>
      <c r="R244" s="1310">
        <f>(J$15+1-$J$15)*$O$2+25</f>
        <v>65.16326530612244</v>
      </c>
      <c r="S244" s="1310">
        <v>0</v>
      </c>
      <c r="T244" s="1310">
        <v>0</v>
      </c>
      <c r="U244" s="451">
        <f t="shared" ref="U244:U284" si="67">IF(N244&gt;0,MIN(1,N244/Q244),0)</f>
        <v>1</v>
      </c>
      <c r="V244" s="451">
        <v>0</v>
      </c>
      <c r="W244" s="451">
        <v>0</v>
      </c>
      <c r="X244" s="452">
        <f t="shared" si="62"/>
        <v>1</v>
      </c>
      <c r="Y244" s="447">
        <f t="shared" si="63"/>
        <v>2677.1407901532111</v>
      </c>
      <c r="Z244" s="447">
        <f t="shared" ref="Z244:Z284" si="68">Q244*U244*$O$6*(sndfact-1)*$K$4</f>
        <v>2055.8775381360592</v>
      </c>
      <c r="AA244" s="447">
        <v>0</v>
      </c>
      <c r="AB244">
        <f>SUMPRODUCT($F$22:$F$24,$L$16:$L$18)*X244</f>
        <v>921.65006995070587</v>
      </c>
      <c r="AC244" s="447">
        <v>0</v>
      </c>
      <c r="AD244" s="447">
        <v>0</v>
      </c>
      <c r="AE244" s="447">
        <v>0</v>
      </c>
      <c r="AF244" s="448">
        <f t="shared" ref="AF244:AF258" si="69">SUM(Y244:AE244)</f>
        <v>5654.6683982399763</v>
      </c>
      <c r="AG244" s="453">
        <f t="shared" si="65"/>
        <v>488.42925296823415</v>
      </c>
      <c r="AH244" s="454">
        <f t="shared" ref="AH244:AH284" si="70">N244-$Q244</f>
        <v>5.8227483020806332</v>
      </c>
      <c r="AI244" s="104">
        <v>0</v>
      </c>
      <c r="AJ244" s="455">
        <v>0</v>
      </c>
      <c r="AK244" s="456" t="str">
        <f>IF(instatk="Mut","1-3s/3-5e",IF(Sealfate&gt;0,"1-2s/3-4e","1s/3e"))</f>
        <v>1s/3e</v>
      </c>
      <c r="AL244" t="str">
        <f>IF(AND(OR(allowrupt,NOT(D244)),OR(AND(poison,allowenv),NOT(F244)),$X$2-AG244&lt;50),MAX($AL$55:$AL243)+1,"")</f>
        <v/>
      </c>
      <c r="AQ244" t="b">
        <v>1</v>
      </c>
    </row>
    <row r="245" spans="2:43">
      <c r="B245" t="s">
        <v>1844</v>
      </c>
      <c r="C245" s="445">
        <v>1</v>
      </c>
      <c r="D245" s="64">
        <v>0</v>
      </c>
      <c r="E245" s="64">
        <v>1</v>
      </c>
      <c r="F245" s="64">
        <v>0</v>
      </c>
      <c r="G245" s="64">
        <v>0</v>
      </c>
      <c r="H245" s="446">
        <f t="shared" si="58"/>
        <v>2</v>
      </c>
      <c r="I245" s="447">
        <f>K$15+L$15</f>
        <v>3.8</v>
      </c>
      <c r="J245" s="447">
        <f t="shared" si="59"/>
        <v>152.6204081632653</v>
      </c>
      <c r="K245" s="447">
        <f>SUMPRODUCT($E$14:$E$16,$K$16:$K$18)+SUMPRODUCT($E$22:$E$24,$L$16:$L$18)</f>
        <v>35</v>
      </c>
      <c r="L245" s="448">
        <f t="shared" si="60"/>
        <v>187.6204081632653</v>
      </c>
      <c r="M245" s="449">
        <f>SUMPRODUCT($C$14:$C$16,$K$16:$K$18)+SUMPRODUCT($C$22:$C$24,$L$16:$L$18)</f>
        <v>5</v>
      </c>
      <c r="N245" s="104">
        <f>SUMPRODUCT($D$14:$D$16,$J$16:$J$18)</f>
        <v>21.75</v>
      </c>
      <c r="O245" s="104">
        <v>0</v>
      </c>
      <c r="P245" s="104">
        <v>0</v>
      </c>
      <c r="Q245" s="450">
        <f t="shared" si="66"/>
        <v>14.247470785988956</v>
      </c>
      <c r="R245" s="1310">
        <f>(K$15+1-$J$15)*$O$2+25</f>
        <v>105.32653061224489</v>
      </c>
      <c r="S245" s="1310">
        <v>0</v>
      </c>
      <c r="T245" s="1310">
        <v>0</v>
      </c>
      <c r="U245" s="451">
        <f t="shared" si="67"/>
        <v>1</v>
      </c>
      <c r="V245" s="451">
        <v>0</v>
      </c>
      <c r="W245" s="451">
        <v>0</v>
      </c>
      <c r="X245" s="452">
        <f t="shared" si="62"/>
        <v>1</v>
      </c>
      <c r="Y245" s="447">
        <f t="shared" si="63"/>
        <v>3633.2625009222152</v>
      </c>
      <c r="Z245" s="447">
        <f t="shared" si="68"/>
        <v>2530.0525486051679</v>
      </c>
      <c r="AA245" s="447">
        <v>0</v>
      </c>
      <c r="AB245">
        <f>SUMPRODUCT($F$22:$F$24,$L$16:$L$18)*X245</f>
        <v>921.65006995070587</v>
      </c>
      <c r="AC245" s="447">
        <v>0</v>
      </c>
      <c r="AD245" s="447">
        <v>0</v>
      </c>
      <c r="AE245" s="447">
        <v>0</v>
      </c>
      <c r="AF245" s="448">
        <f t="shared" si="69"/>
        <v>7084.965119478089</v>
      </c>
      <c r="AG245" s="453">
        <f t="shared" si="65"/>
        <v>497.27879606852639</v>
      </c>
      <c r="AH245" s="454">
        <f t="shared" si="70"/>
        <v>7.5025292140110444</v>
      </c>
      <c r="AI245" s="104">
        <v>0</v>
      </c>
      <c r="AJ245" s="455">
        <v>0</v>
      </c>
      <c r="AK245" s="456" t="str">
        <f>IF(instatk="Mut","2-4s/3-5e",IF(Sealfate&gt;0,"2-3s/3-4e","2s/3e"))</f>
        <v>2s/3e</v>
      </c>
      <c r="AL245" t="str">
        <f>IF(AND(OR(allowrupt,NOT(D245)),OR(AND(poison,allowenv),NOT(F245)),$X$2-AG245&lt;50),MAX($AL$55:$AL244)+1,"")</f>
        <v/>
      </c>
      <c r="AQ245" t="b">
        <v>1</v>
      </c>
    </row>
    <row r="246" spans="2:43">
      <c r="B246" t="s">
        <v>1845</v>
      </c>
      <c r="C246" s="445">
        <v>1</v>
      </c>
      <c r="D246" s="64">
        <v>0</v>
      </c>
      <c r="E246" s="64">
        <v>1</v>
      </c>
      <c r="F246" s="64">
        <v>0</v>
      </c>
      <c r="G246" s="64">
        <v>0</v>
      </c>
      <c r="H246" s="446">
        <f t="shared" si="58"/>
        <v>2</v>
      </c>
      <c r="I246" s="447">
        <f>L$15+L$15</f>
        <v>4.8</v>
      </c>
      <c r="J246" s="447">
        <f t="shared" si="59"/>
        <v>192.78367346938774</v>
      </c>
      <c r="K246" s="447">
        <f>SUMPRODUCT($E$15:$E$17,$L$16:$L$18)+SUMPRODUCT($E$22:$E$24,$L$16:$L$18)</f>
        <v>30</v>
      </c>
      <c r="L246" s="448">
        <f t="shared" si="60"/>
        <v>222.78367346938774</v>
      </c>
      <c r="M246" s="449">
        <f>SUMPRODUCT($C$15:$C$17,$L$16:$L$18)+SUMPRODUCT($C$22:$C$24,$L$16:$L$18)</f>
        <v>6</v>
      </c>
      <c r="N246" s="104">
        <f>SUMPRODUCT($D$15:$D$17,$J$16:$J$18)</f>
        <v>26.099999999999998</v>
      </c>
      <c r="O246" s="104">
        <v>0</v>
      </c>
      <c r="P246" s="104">
        <v>0</v>
      </c>
      <c r="Q246" s="450">
        <f t="shared" si="66"/>
        <v>16.917689874058546</v>
      </c>
      <c r="R246" s="1310">
        <f>(L$15+1-$J$15)*$O$2+25</f>
        <v>145.48979591836735</v>
      </c>
      <c r="S246" s="1310">
        <v>0</v>
      </c>
      <c r="T246" s="1310">
        <v>0</v>
      </c>
      <c r="U246" s="451">
        <f t="shared" si="67"/>
        <v>1</v>
      </c>
      <c r="V246" s="451">
        <v>0</v>
      </c>
      <c r="W246" s="451">
        <v>0</v>
      </c>
      <c r="X246" s="452">
        <f t="shared" si="62"/>
        <v>1</v>
      </c>
      <c r="Y246" s="447">
        <f t="shared" si="63"/>
        <v>4589.3842116912192</v>
      </c>
      <c r="Z246" s="447">
        <f t="shared" si="68"/>
        <v>3004.227559074277</v>
      </c>
      <c r="AA246" s="447">
        <v>0</v>
      </c>
      <c r="AB246">
        <f>SUMPRODUCT($F$22:$F$24,$L$16:$L$18)*X246</f>
        <v>921.65006995070587</v>
      </c>
      <c r="AC246" s="447">
        <v>0</v>
      </c>
      <c r="AD246" s="447">
        <v>0</v>
      </c>
      <c r="AE246" s="447">
        <v>0</v>
      </c>
      <c r="AF246" s="448">
        <f t="shared" si="69"/>
        <v>8515.2618407162008</v>
      </c>
      <c r="AG246" s="453">
        <f t="shared" si="65"/>
        <v>503.33478767532188</v>
      </c>
      <c r="AH246" s="454">
        <f t="shared" si="70"/>
        <v>9.1823101259414521</v>
      </c>
      <c r="AI246" s="104">
        <v>0</v>
      </c>
      <c r="AJ246" s="455">
        <v>0</v>
      </c>
      <c r="AK246" s="456" t="str">
        <f>IF(instatk="Mut","3-5s/3-5e",IF(Sealfate&gt;0,"3-4s/3-4e","3s/3e"))</f>
        <v>3s/3e</v>
      </c>
      <c r="AL246" t="str">
        <f>IF(AND(OR(allowrupt,NOT(D246)),OR(AND(poison,allowenv),NOT(F246)),$X$2-AG246&lt;50),MAX($AL$55:$AL245)+1,"")</f>
        <v/>
      </c>
      <c r="AQ246" t="b">
        <v>1</v>
      </c>
    </row>
    <row r="247" spans="2:43">
      <c r="B247" t="s">
        <v>1846</v>
      </c>
      <c r="C247" s="445">
        <v>1</v>
      </c>
      <c r="D247" s="64">
        <v>0</v>
      </c>
      <c r="E247" s="64">
        <v>1</v>
      </c>
      <c r="F247" s="64">
        <v>0</v>
      </c>
      <c r="G247" s="64">
        <v>0</v>
      </c>
      <c r="H247" s="446">
        <f t="shared" si="58"/>
        <v>2</v>
      </c>
      <c r="I247" s="447">
        <f>M$15+L$15</f>
        <v>5.8</v>
      </c>
      <c r="J247" s="447">
        <f t="shared" si="59"/>
        <v>232.94693877551018</v>
      </c>
      <c r="K247" s="447">
        <f>SUMPRODUCT($E$16:$E$18,$M$16:$M$18)+SUMPRODUCT($E$22:$E$24,$L$16:$L$18)</f>
        <v>25</v>
      </c>
      <c r="L247" s="448">
        <f t="shared" si="60"/>
        <v>257.94693877551015</v>
      </c>
      <c r="M247" s="449">
        <f>SUMPRODUCT($C$16:$C$18,$M$16:$M$18)+SUMPRODUCT($C$22:$C$24,$L$16:$L$18)</f>
        <v>7</v>
      </c>
      <c r="N247" s="104">
        <f>SUMPRODUCT($D$16:$D$18,$J$16:$J$18)</f>
        <v>30.45</v>
      </c>
      <c r="O247" s="104">
        <v>0</v>
      </c>
      <c r="P247" s="104">
        <v>0</v>
      </c>
      <c r="Q247" s="450">
        <f t="shared" si="66"/>
        <v>19.587908962128132</v>
      </c>
      <c r="R247" s="1310">
        <f>(M$15+1-$J$15)*$O$2+25</f>
        <v>185.65306122448979</v>
      </c>
      <c r="S247" s="1310">
        <v>0</v>
      </c>
      <c r="T247" s="1310">
        <v>0</v>
      </c>
      <c r="U247" s="451">
        <f t="shared" si="67"/>
        <v>1</v>
      </c>
      <c r="V247" s="451">
        <v>0</v>
      </c>
      <c r="W247" s="451">
        <v>0</v>
      </c>
      <c r="X247" s="452">
        <f t="shared" si="62"/>
        <v>1</v>
      </c>
      <c r="Y247" s="447">
        <f t="shared" si="63"/>
        <v>5545.5059224602228</v>
      </c>
      <c r="Z247" s="447">
        <f t="shared" si="68"/>
        <v>3478.4025695433847</v>
      </c>
      <c r="AA247" s="447">
        <v>0</v>
      </c>
      <c r="AB247">
        <f>SUMPRODUCT($F$22:$F$24,$L$16:$L$18)*X247</f>
        <v>921.65006995070587</v>
      </c>
      <c r="AC247" s="447">
        <v>0</v>
      </c>
      <c r="AD247" s="447">
        <v>0</v>
      </c>
      <c r="AE247" s="447">
        <v>0</v>
      </c>
      <c r="AF247" s="448">
        <f t="shared" si="69"/>
        <v>9945.5585619543126</v>
      </c>
      <c r="AG247" s="453">
        <f t="shared" si="65"/>
        <v>507.73967661292295</v>
      </c>
      <c r="AH247" s="454">
        <f t="shared" si="70"/>
        <v>10.862091037871867</v>
      </c>
      <c r="AI247" s="104">
        <v>0</v>
      </c>
      <c r="AJ247" s="455">
        <v>0</v>
      </c>
      <c r="AK247" s="456" t="str">
        <f>IF(instatk="Mut","4-5s/3-5e",IF(Sealfate&gt;0,"4-5s/3-4e","4s/3e"))</f>
        <v>4s/3e</v>
      </c>
      <c r="AL247" t="str">
        <f>IF(AND(OR(allowrupt,NOT(D247)),OR(AND(poison,allowenv),NOT(F247)),$X$2-AG247&lt;50),MAX($AL$55:$AL246)+1,"")</f>
        <v/>
      </c>
      <c r="AQ247" t="b">
        <v>1</v>
      </c>
    </row>
    <row r="248" spans="2:43">
      <c r="B248" t="s">
        <v>1847</v>
      </c>
      <c r="C248" s="445">
        <v>1</v>
      </c>
      <c r="D248" s="64">
        <v>0</v>
      </c>
      <c r="E248" s="64">
        <v>1</v>
      </c>
      <c r="F248" s="64">
        <v>0</v>
      </c>
      <c r="G248" s="64">
        <v>0</v>
      </c>
      <c r="H248" s="446">
        <f t="shared" si="58"/>
        <v>2</v>
      </c>
      <c r="I248" s="447">
        <f>N$15+L$15</f>
        <v>6.8000000000000007</v>
      </c>
      <c r="J248" s="447">
        <f t="shared" si="59"/>
        <v>273.11020408163267</v>
      </c>
      <c r="K248" s="447">
        <f>SUMPRODUCT($E$17:$E$19,$N$16:$N$18)+SUMPRODUCT($E$22:$E$24,$L$16:$L$18)</f>
        <v>20</v>
      </c>
      <c r="L248" s="448">
        <f t="shared" si="60"/>
        <v>293.11020408163267</v>
      </c>
      <c r="M248" s="449">
        <f>SUMPRODUCT($C$17:$C$19,$N$16:$N$18)+SUMPRODUCT($C$22:$C$24,$L$16:$L$18)</f>
        <v>8</v>
      </c>
      <c r="N248" s="104">
        <f>SUMPRODUCT($D$17:$D$19,$J$16:$J$18)</f>
        <v>34.799999999999997</v>
      </c>
      <c r="O248" s="104">
        <v>0</v>
      </c>
      <c r="P248" s="104">
        <v>0</v>
      </c>
      <c r="Q248" s="450">
        <f t="shared" si="66"/>
        <v>22.25812805019773</v>
      </c>
      <c r="R248" s="1310">
        <f>(N$15+1-$J$15)*$O$2+25</f>
        <v>225.81632653061223</v>
      </c>
      <c r="S248" s="1310">
        <v>0</v>
      </c>
      <c r="T248" s="1310">
        <v>0</v>
      </c>
      <c r="U248" s="451">
        <f t="shared" si="67"/>
        <v>1</v>
      </c>
      <c r="V248" s="451">
        <v>0</v>
      </c>
      <c r="W248" s="451">
        <v>0</v>
      </c>
      <c r="X248" s="452">
        <f t="shared" si="62"/>
        <v>1</v>
      </c>
      <c r="Y248" s="447">
        <f t="shared" si="63"/>
        <v>6501.6276332292282</v>
      </c>
      <c r="Z248" s="447">
        <f t="shared" si="68"/>
        <v>3952.5775800124952</v>
      </c>
      <c r="AA248" s="447">
        <v>0</v>
      </c>
      <c r="AB248">
        <f>SUMPRODUCT($F$22:$F$24,$L$16:$L$18)*X248</f>
        <v>921.65006995070587</v>
      </c>
      <c r="AC248" s="447">
        <v>0</v>
      </c>
      <c r="AD248" s="447">
        <v>0</v>
      </c>
      <c r="AE248" s="447">
        <v>0</v>
      </c>
      <c r="AF248" s="448">
        <f t="shared" si="69"/>
        <v>11375.855283192428</v>
      </c>
      <c r="AG248" s="453">
        <f t="shared" si="65"/>
        <v>511.08769154068062</v>
      </c>
      <c r="AH248" s="454">
        <f t="shared" si="70"/>
        <v>12.541871949802267</v>
      </c>
      <c r="AI248" s="104">
        <v>0</v>
      </c>
      <c r="AJ248" s="455">
        <v>0</v>
      </c>
      <c r="AK248" s="456" t="str">
        <f>IF(instatk="Mut","5-5s/3-5e",IF(Sealfate&gt;0,"5-5s/3-4e","5s/3e"))</f>
        <v>5s/3e</v>
      </c>
      <c r="AL248" t="str">
        <f>IF(AND(OR(allowrupt,NOT(D248)),OR(AND(poison,allowenv),NOT(F248)),$X$2-AG248&lt;50),MAX($AL$55:$AL247)+1,"")</f>
        <v/>
      </c>
      <c r="AQ248" t="b">
        <v>1</v>
      </c>
    </row>
    <row r="249" spans="2:43">
      <c r="B249" t="s">
        <v>514</v>
      </c>
      <c r="C249" s="445">
        <v>1</v>
      </c>
      <c r="D249" s="64">
        <v>0</v>
      </c>
      <c r="E249" s="64">
        <v>1</v>
      </c>
      <c r="F249" s="64">
        <v>0</v>
      </c>
      <c r="G249" s="64">
        <v>0</v>
      </c>
      <c r="H249" s="446">
        <f t="shared" si="58"/>
        <v>2</v>
      </c>
      <c r="I249" s="447">
        <f>J$15+M$15</f>
        <v>3.8</v>
      </c>
      <c r="J249" s="447">
        <f t="shared" si="59"/>
        <v>152.6204081632653</v>
      </c>
      <c r="K249" s="447">
        <f>SUMPRODUCT($E$13:$E$15,$J$16:$J$18)+SUMPRODUCT($E$23:$E$25,$M$16:$M$18)</f>
        <v>35</v>
      </c>
      <c r="L249" s="448">
        <f t="shared" si="60"/>
        <v>187.6204081632653</v>
      </c>
      <c r="M249" s="449">
        <f>SUMPRODUCT($C$13:$C$15,$J$16:$J$18)+SUMPRODUCT($C$23:$C$25,$M$16:$M$18)</f>
        <v>5</v>
      </c>
      <c r="N249" s="104">
        <f>SUMPRODUCT($D$13:$D$15,$J$16:$J$18)</f>
        <v>17.399999999999999</v>
      </c>
      <c r="O249" s="104">
        <v>0</v>
      </c>
      <c r="P249" s="104">
        <v>0</v>
      </c>
      <c r="Q249" s="450">
        <f t="shared" si="66"/>
        <v>14.247470785988956</v>
      </c>
      <c r="R249" s="1310">
        <f>(J$15+1-$J$15)*$O$2+25</f>
        <v>65.16326530612244</v>
      </c>
      <c r="S249" s="1310">
        <v>0</v>
      </c>
      <c r="T249" s="1310">
        <v>0</v>
      </c>
      <c r="U249" s="451">
        <f t="shared" si="67"/>
        <v>1</v>
      </c>
      <c r="V249" s="451">
        <v>0</v>
      </c>
      <c r="W249" s="451">
        <v>0</v>
      </c>
      <c r="X249" s="452">
        <f t="shared" si="62"/>
        <v>1</v>
      </c>
      <c r="Y249" s="447">
        <f t="shared" si="63"/>
        <v>3633.2625009222152</v>
      </c>
      <c r="Z249" s="447">
        <f t="shared" si="68"/>
        <v>2530.0525486051679</v>
      </c>
      <c r="AA249" s="447">
        <v>0</v>
      </c>
      <c r="AB249">
        <f>SUMPRODUCT($F$23:$F$25,$M$16:$M$18)*X249</f>
        <v>1190.4605772048644</v>
      </c>
      <c r="AC249" s="447">
        <v>0</v>
      </c>
      <c r="AD249" s="447">
        <v>0</v>
      </c>
      <c r="AE249" s="447">
        <v>0</v>
      </c>
      <c r="AF249" s="448">
        <f t="shared" si="69"/>
        <v>7353.7756267322475</v>
      </c>
      <c r="AG249" s="453">
        <f t="shared" si="65"/>
        <v>516.1460400370845</v>
      </c>
      <c r="AH249" s="454">
        <f t="shared" si="70"/>
        <v>3.152529214011043</v>
      </c>
      <c r="AI249" s="104">
        <v>0</v>
      </c>
      <c r="AJ249" s="455">
        <v>0</v>
      </c>
      <c r="AK249" s="456" t="str">
        <f>IF(instatk="Mut","1-3s/4-5e",IF(Sealfate&gt;0,"1-2s/4-5e","1s/4e"))</f>
        <v>1s/4e</v>
      </c>
      <c r="AL249" t="str">
        <f>IF(AND(OR(allowrupt,NOT(D249)),OR(AND(poison,allowenv),NOT(F249)),$X$2-AG249&lt;50),MAX($AL$55:$AL248)+1,"")</f>
        <v/>
      </c>
      <c r="AQ249" t="b">
        <v>1</v>
      </c>
    </row>
    <row r="250" spans="2:43">
      <c r="B250" t="s">
        <v>515</v>
      </c>
      <c r="C250" s="445">
        <v>1</v>
      </c>
      <c r="D250" s="64">
        <v>0</v>
      </c>
      <c r="E250" s="64">
        <v>1</v>
      </c>
      <c r="F250" s="64">
        <v>0</v>
      </c>
      <c r="G250" s="64">
        <v>0</v>
      </c>
      <c r="H250" s="446">
        <f t="shared" si="58"/>
        <v>2</v>
      </c>
      <c r="I250" s="447">
        <f>K$15+M$15</f>
        <v>4.8</v>
      </c>
      <c r="J250" s="447">
        <f t="shared" si="59"/>
        <v>192.78367346938774</v>
      </c>
      <c r="K250" s="447">
        <f>SUMPRODUCT($E$14:$E$16,$K$16:$K$18)+SUMPRODUCT($E$23:$E$25,$M$16:$M$18)</f>
        <v>30</v>
      </c>
      <c r="L250" s="448">
        <f t="shared" si="60"/>
        <v>222.78367346938774</v>
      </c>
      <c r="M250" s="449">
        <f>SUMPRODUCT($C$14:$C$16,$K$16:$K$18)+SUMPRODUCT($C$23:$C$25,$M$16:$M$18)</f>
        <v>6</v>
      </c>
      <c r="N250" s="104">
        <f>SUMPRODUCT($D$14:$D$16,$K$16:$K$18)</f>
        <v>21.75</v>
      </c>
      <c r="O250" s="104">
        <v>0</v>
      </c>
      <c r="P250" s="104">
        <v>0</v>
      </c>
      <c r="Q250" s="450">
        <f t="shared" si="66"/>
        <v>16.917689874058546</v>
      </c>
      <c r="R250" s="1310">
        <f>(K$15+1-$J$15)*$O$2+25</f>
        <v>105.32653061224489</v>
      </c>
      <c r="S250" s="1310">
        <v>0</v>
      </c>
      <c r="T250" s="1310">
        <v>0</v>
      </c>
      <c r="U250" s="451">
        <f t="shared" si="67"/>
        <v>1</v>
      </c>
      <c r="V250" s="451">
        <v>0</v>
      </c>
      <c r="W250" s="451">
        <v>0</v>
      </c>
      <c r="X250" s="452">
        <f t="shared" si="62"/>
        <v>1</v>
      </c>
      <c r="Y250" s="447">
        <f t="shared" si="63"/>
        <v>4589.3842116912192</v>
      </c>
      <c r="Z250" s="447">
        <f t="shared" si="68"/>
        <v>3004.227559074277</v>
      </c>
      <c r="AA250" s="447">
        <v>0</v>
      </c>
      <c r="AB250">
        <f>SUMPRODUCT($F$23:$F$25,$M$16:$M$18)*X250</f>
        <v>1190.4605772048644</v>
      </c>
      <c r="AC250" s="447">
        <v>0</v>
      </c>
      <c r="AD250" s="447">
        <v>0</v>
      </c>
      <c r="AE250" s="447">
        <v>0</v>
      </c>
      <c r="AF250" s="448">
        <f t="shared" si="69"/>
        <v>8784.0723479703593</v>
      </c>
      <c r="AG250" s="453">
        <f t="shared" si="65"/>
        <v>519.22410289833886</v>
      </c>
      <c r="AH250" s="454">
        <f t="shared" si="70"/>
        <v>4.8323101259414543</v>
      </c>
      <c r="AI250" s="104">
        <v>0</v>
      </c>
      <c r="AJ250" s="455">
        <v>0</v>
      </c>
      <c r="AK250" s="456" t="str">
        <f>IF(instatk="Mut","2-4s/4-5e",IF(Sealfate&gt;0,"2-3s/4-5e","2s/4e"))</f>
        <v>2s/4e</v>
      </c>
      <c r="AL250" t="str">
        <f>IF(AND(OR(allowrupt,NOT(D250)),OR(AND(poison,allowenv),NOT(F250)),$X$2-AG250&lt;50),MAX($AL$55:$AL249)+1,"")</f>
        <v/>
      </c>
      <c r="AQ250" t="b">
        <v>1</v>
      </c>
    </row>
    <row r="251" spans="2:43">
      <c r="B251" t="s">
        <v>516</v>
      </c>
      <c r="C251" s="445">
        <v>1</v>
      </c>
      <c r="D251" s="64">
        <v>0</v>
      </c>
      <c r="E251" s="64">
        <v>1</v>
      </c>
      <c r="F251" s="64">
        <v>0</v>
      </c>
      <c r="G251" s="64">
        <v>0</v>
      </c>
      <c r="H251" s="446">
        <f t="shared" si="58"/>
        <v>2</v>
      </c>
      <c r="I251" s="447">
        <f>L$15+M$15</f>
        <v>5.8</v>
      </c>
      <c r="J251" s="447">
        <f t="shared" si="59"/>
        <v>232.94693877551018</v>
      </c>
      <c r="K251" s="447">
        <f>SUMPRODUCT($E$15:$E$17,$L$16:$L$18)+SUMPRODUCT($E$23:$E$25,$M$16:$M$18)</f>
        <v>25</v>
      </c>
      <c r="L251" s="448">
        <f t="shared" si="60"/>
        <v>257.94693877551015</v>
      </c>
      <c r="M251" s="449">
        <f>SUMPRODUCT($C$15:$C$17,$L$16:$L$18)+SUMPRODUCT($C$23:$C$25,$M$16:$M$18)</f>
        <v>7</v>
      </c>
      <c r="N251" s="104">
        <f>SUMPRODUCT($D$15:$D$17,$L$16:$L$18)</f>
        <v>26.099999999999998</v>
      </c>
      <c r="O251" s="104">
        <v>0</v>
      </c>
      <c r="P251" s="104">
        <v>0</v>
      </c>
      <c r="Q251" s="450">
        <f t="shared" si="66"/>
        <v>19.587908962128132</v>
      </c>
      <c r="R251" s="1310">
        <f>(L$15+1-$J$15)*$O$2+25</f>
        <v>145.48979591836735</v>
      </c>
      <c r="S251" s="1310">
        <v>0</v>
      </c>
      <c r="T251" s="1310">
        <v>0</v>
      </c>
      <c r="U251" s="451">
        <f t="shared" si="67"/>
        <v>1</v>
      </c>
      <c r="V251" s="451">
        <v>0</v>
      </c>
      <c r="W251" s="451">
        <v>0</v>
      </c>
      <c r="X251" s="452">
        <f t="shared" si="62"/>
        <v>1</v>
      </c>
      <c r="Y251" s="447">
        <f t="shared" si="63"/>
        <v>5545.5059224602228</v>
      </c>
      <c r="Z251" s="447">
        <f t="shared" si="68"/>
        <v>3478.4025695433847</v>
      </c>
      <c r="AA251" s="447">
        <v>0</v>
      </c>
      <c r="AB251">
        <f>SUMPRODUCT($F$23:$F$25,$M$16:$M$18)*X251</f>
        <v>1190.4605772048644</v>
      </c>
      <c r="AC251" s="447">
        <v>0</v>
      </c>
      <c r="AD251" s="447">
        <v>0</v>
      </c>
      <c r="AE251" s="447">
        <v>0</v>
      </c>
      <c r="AF251" s="448">
        <f t="shared" si="69"/>
        <v>10214.369069208471</v>
      </c>
      <c r="AG251" s="453">
        <f t="shared" si="65"/>
        <v>521.46296416617247</v>
      </c>
      <c r="AH251" s="454">
        <f t="shared" si="70"/>
        <v>6.5120910378718655</v>
      </c>
      <c r="AI251" s="104">
        <v>0</v>
      </c>
      <c r="AJ251" s="455">
        <v>0</v>
      </c>
      <c r="AK251" s="456" t="str">
        <f>IF(instatk="Mut","3-5s/4-5e",IF(Sealfate&gt;0,"3-4s/4-5e","3s/4e"))</f>
        <v>3s/4e</v>
      </c>
      <c r="AL251">
        <f>IF(AND(OR(allowrupt,NOT(D251)),OR(AND(poison,allowenv),NOT(F251)),$X$2-AG251&lt;50),MAX($AL$55:$AL250)+1,"")</f>
        <v>53</v>
      </c>
      <c r="AQ251" t="b">
        <v>1</v>
      </c>
    </row>
    <row r="252" spans="2:43">
      <c r="B252" t="s">
        <v>517</v>
      </c>
      <c r="C252" s="445">
        <v>1</v>
      </c>
      <c r="D252" s="64">
        <v>0</v>
      </c>
      <c r="E252" s="64">
        <v>1</v>
      </c>
      <c r="F252" s="64">
        <v>0</v>
      </c>
      <c r="G252" s="64">
        <v>0</v>
      </c>
      <c r="H252" s="446">
        <f t="shared" si="58"/>
        <v>2</v>
      </c>
      <c r="I252" s="447">
        <f>M$15+M$15</f>
        <v>6.8</v>
      </c>
      <c r="J252" s="447">
        <f t="shared" si="59"/>
        <v>273.11020408163262</v>
      </c>
      <c r="K252" s="447">
        <f>SUMPRODUCT($E$16:$E$18,$M$16:$M$18)+SUMPRODUCT($E$23:$E$25,$M$16:$M$18)</f>
        <v>20</v>
      </c>
      <c r="L252" s="448">
        <f t="shared" si="60"/>
        <v>293.11020408163262</v>
      </c>
      <c r="M252" s="449">
        <f>SUMPRODUCT($C$16:$C$18,$M$16:$M$18)+SUMPRODUCT($C$23:$C$25,$M$16:$M$18)</f>
        <v>8</v>
      </c>
      <c r="N252" s="104">
        <f>SUMPRODUCT($D$16:$D$18,$M$16:$M$18)</f>
        <v>30.45</v>
      </c>
      <c r="O252" s="104">
        <v>0</v>
      </c>
      <c r="P252" s="104">
        <v>0</v>
      </c>
      <c r="Q252" s="450">
        <f t="shared" si="66"/>
        <v>22.258128050197726</v>
      </c>
      <c r="R252" s="1310">
        <f>(M$15+1-$J$15)*$O$2+25</f>
        <v>185.65306122448979</v>
      </c>
      <c r="S252" s="1310">
        <v>0</v>
      </c>
      <c r="T252" s="1310">
        <v>0</v>
      </c>
      <c r="U252" s="451">
        <f t="shared" si="67"/>
        <v>1</v>
      </c>
      <c r="V252" s="451">
        <v>0</v>
      </c>
      <c r="W252" s="451">
        <v>0</v>
      </c>
      <c r="X252" s="452">
        <f t="shared" si="62"/>
        <v>1</v>
      </c>
      <c r="Y252" s="447">
        <f t="shared" si="63"/>
        <v>6501.6276332292264</v>
      </c>
      <c r="Z252" s="447">
        <f t="shared" si="68"/>
        <v>3952.5775800124939</v>
      </c>
      <c r="AA252" s="447">
        <v>0</v>
      </c>
      <c r="AB252">
        <f>SUMPRODUCT($F$23:$F$25,$M$16:$M$18)*X252</f>
        <v>1190.4605772048644</v>
      </c>
      <c r="AC252" s="447">
        <v>0</v>
      </c>
      <c r="AD252" s="447">
        <v>0</v>
      </c>
      <c r="AE252" s="447">
        <v>0</v>
      </c>
      <c r="AF252" s="448">
        <f t="shared" si="69"/>
        <v>11644.665790446583</v>
      </c>
      <c r="AG252" s="453">
        <f t="shared" si="65"/>
        <v>523.16465087202778</v>
      </c>
      <c r="AH252" s="454">
        <f t="shared" si="70"/>
        <v>8.1918719498022732</v>
      </c>
      <c r="AI252" s="104">
        <v>0</v>
      </c>
      <c r="AJ252" s="455">
        <v>0</v>
      </c>
      <c r="AK252" s="456" t="str">
        <f>IF(instatk="Mut","4-5s/4-5e",IF(Sealfate&gt;0,"4-5s/4-5e","4s/4e"))</f>
        <v>4s/4e</v>
      </c>
      <c r="AL252">
        <f>IF(AND(OR(allowrupt,NOT(D252)),OR(AND(poison,allowenv),NOT(F252)),$X$2-AG252&lt;50),MAX($AL$55:$AL251)+1,"")</f>
        <v>54</v>
      </c>
      <c r="AQ252" t="b">
        <v>1</v>
      </c>
    </row>
    <row r="253" spans="2:43">
      <c r="B253" t="s">
        <v>192</v>
      </c>
      <c r="C253" s="445">
        <v>1</v>
      </c>
      <c r="D253" s="64">
        <v>0</v>
      </c>
      <c r="E253" s="64">
        <v>1</v>
      </c>
      <c r="F253" s="64">
        <v>0</v>
      </c>
      <c r="G253" s="64">
        <v>0</v>
      </c>
      <c r="H253" s="446">
        <f t="shared" si="58"/>
        <v>2</v>
      </c>
      <c r="I253" s="447">
        <f>N$15+M$15</f>
        <v>7.8000000000000007</v>
      </c>
      <c r="J253" s="447">
        <f t="shared" si="59"/>
        <v>313.27346938775514</v>
      </c>
      <c r="K253" s="447">
        <f>SUMPRODUCT($E$17:$E$19,$N$16:$N$18)+SUMPRODUCT($E$23:$E$25,$M$16:$M$18)</f>
        <v>15</v>
      </c>
      <c r="L253" s="448">
        <f t="shared" si="60"/>
        <v>328.27346938775514</v>
      </c>
      <c r="M253" s="449">
        <f>SUMPRODUCT($C$17:$C$19,$N$16:$N$18)+SUMPRODUCT($C$23:$C$25,$M$16:$M$18)</f>
        <v>9</v>
      </c>
      <c r="N253" s="104">
        <f>SUMPRODUCT($D$17:$D$19,$N$16:$N$18)</f>
        <v>34.799999999999997</v>
      </c>
      <c r="O253" s="104">
        <v>0</v>
      </c>
      <c r="P253" s="104">
        <v>0</v>
      </c>
      <c r="Q253" s="450">
        <f t="shared" si="66"/>
        <v>24.92834713826732</v>
      </c>
      <c r="R253" s="1310">
        <f>(N$15+1-$J$15)*$O$2+25</f>
        <v>225.81632653061223</v>
      </c>
      <c r="S253" s="1310">
        <v>0</v>
      </c>
      <c r="T253" s="1310">
        <v>0</v>
      </c>
      <c r="U253" s="451">
        <f t="shared" si="67"/>
        <v>1</v>
      </c>
      <c r="V253" s="451">
        <v>0</v>
      </c>
      <c r="W253" s="451">
        <v>0</v>
      </c>
      <c r="X253" s="452">
        <f t="shared" si="62"/>
        <v>1</v>
      </c>
      <c r="Y253" s="447">
        <f t="shared" si="63"/>
        <v>7457.7493439982318</v>
      </c>
      <c r="Z253" s="447">
        <f t="shared" si="68"/>
        <v>4426.7525904816039</v>
      </c>
      <c r="AA253" s="447">
        <v>0</v>
      </c>
      <c r="AB253">
        <f>SUMPRODUCT($F$23:$F$25,$M$16:$M$18)*X253</f>
        <v>1190.4605772048644</v>
      </c>
      <c r="AC253" s="447">
        <v>0</v>
      </c>
      <c r="AD253" s="447">
        <v>0</v>
      </c>
      <c r="AE253" s="447">
        <v>0</v>
      </c>
      <c r="AF253" s="448">
        <f t="shared" si="69"/>
        <v>13074.962511684698</v>
      </c>
      <c r="AG253" s="453">
        <f t="shared" si="65"/>
        <v>524.50178261572023</v>
      </c>
      <c r="AH253" s="454">
        <f t="shared" si="70"/>
        <v>9.8716528617326773</v>
      </c>
      <c r="AI253" s="104">
        <v>0</v>
      </c>
      <c r="AJ253" s="455">
        <v>0</v>
      </c>
      <c r="AK253" s="456" t="str">
        <f>IF(instatk="Mut","5-5s/4-5e",IF(Sealfate&gt;0,"5-5s/4-5e","5s/4e"))</f>
        <v>5s/4e</v>
      </c>
      <c r="AL253">
        <f>IF(AND(OR(allowrupt,NOT(D253)),OR(AND(poison,allowenv),NOT(F253)),$X$2-AG253&lt;50),MAX($AL$55:$AL252)+1,"")</f>
        <v>55</v>
      </c>
      <c r="AQ253" t="b">
        <v>1</v>
      </c>
    </row>
    <row r="254" spans="2:43">
      <c r="B254" t="s">
        <v>510</v>
      </c>
      <c r="C254" s="445">
        <v>1</v>
      </c>
      <c r="D254" s="64">
        <v>0</v>
      </c>
      <c r="E254" s="64">
        <v>1</v>
      </c>
      <c r="F254" s="64">
        <v>0</v>
      </c>
      <c r="G254" s="64">
        <v>0</v>
      </c>
      <c r="H254" s="446">
        <f t="shared" si="58"/>
        <v>2</v>
      </c>
      <c r="I254" s="447">
        <f>J$15+N$15</f>
        <v>4.8000000000000007</v>
      </c>
      <c r="J254" s="447">
        <f t="shared" si="59"/>
        <v>192.78367346938776</v>
      </c>
      <c r="K254" s="447">
        <f>SUMPRODUCT($E$13:$E$15,$J$16:$J$18)+SUMPRODUCT($E$24:$E$26,$N$16:$N$18)</f>
        <v>30</v>
      </c>
      <c r="L254" s="448">
        <f t="shared" si="60"/>
        <v>222.78367346938776</v>
      </c>
      <c r="M254" s="449">
        <f>SUMPRODUCT($C$13:$C$15,$J$16:$J$18)+SUMPRODUCT($C$24:$C$26,$N$16:$N$18)</f>
        <v>6</v>
      </c>
      <c r="N254" s="104">
        <f>SUMPRODUCT($D$13:$D$15,$J$16:$J$18)</f>
        <v>17.399999999999999</v>
      </c>
      <c r="O254" s="104">
        <v>0</v>
      </c>
      <c r="P254" s="104">
        <v>0</v>
      </c>
      <c r="Q254" s="450">
        <f t="shared" si="66"/>
        <v>16.917689874058549</v>
      </c>
      <c r="R254" s="1310">
        <f>(J$15+1-$J$15)*$O$2+25</f>
        <v>65.16326530612244</v>
      </c>
      <c r="S254" s="1310">
        <v>0</v>
      </c>
      <c r="T254" s="1310">
        <v>0</v>
      </c>
      <c r="U254" s="451">
        <f t="shared" si="67"/>
        <v>1</v>
      </c>
      <c r="V254" s="451">
        <v>0</v>
      </c>
      <c r="W254" s="451">
        <v>0</v>
      </c>
      <c r="X254" s="452">
        <f t="shared" si="62"/>
        <v>1</v>
      </c>
      <c r="Y254" s="447">
        <f t="shared" si="63"/>
        <v>4589.3842116912201</v>
      </c>
      <c r="Z254" s="447">
        <f t="shared" si="68"/>
        <v>3004.2275590742775</v>
      </c>
      <c r="AA254" s="447">
        <v>0</v>
      </c>
      <c r="AB254">
        <f>SUMPRODUCT($F$24:$F$26,$N$16:$N$18)*X254</f>
        <v>1459.2710844590233</v>
      </c>
      <c r="AC254" s="447">
        <v>0</v>
      </c>
      <c r="AD254" s="447">
        <v>0</v>
      </c>
      <c r="AE254" s="447">
        <v>0</v>
      </c>
      <c r="AF254" s="448">
        <f t="shared" si="69"/>
        <v>9052.8828552245213</v>
      </c>
      <c r="AG254" s="453">
        <f t="shared" si="65"/>
        <v>535.11341812135595</v>
      </c>
      <c r="AH254" s="454">
        <f t="shared" si="70"/>
        <v>0.48231012594144929</v>
      </c>
      <c r="AI254" s="104">
        <v>0</v>
      </c>
      <c r="AJ254" s="455">
        <v>0</v>
      </c>
      <c r="AK254" s="456" t="str">
        <f>IF(instatk="Mut","1-3s/5-5e",IF(Sealfate&gt;0,"1-2s/5-5e","1s/5e"))</f>
        <v>1s/5e</v>
      </c>
      <c r="AL254">
        <f>IF(AND(OR(allowrupt,NOT(D254)),OR(AND(poison,allowenv),NOT(F254)),$X$2-AG254&lt;50),MAX($AL$55:$AL253)+1,"")</f>
        <v>56</v>
      </c>
      <c r="AQ254" t="b">
        <v>1</v>
      </c>
    </row>
    <row r="255" spans="2:43">
      <c r="B255" t="s">
        <v>511</v>
      </c>
      <c r="C255" s="445">
        <v>1</v>
      </c>
      <c r="D255" s="64">
        <v>0</v>
      </c>
      <c r="E255" s="64">
        <v>1</v>
      </c>
      <c r="F255" s="64">
        <v>0</v>
      </c>
      <c r="G255" s="64">
        <v>0</v>
      </c>
      <c r="H255" s="446">
        <f t="shared" si="58"/>
        <v>2</v>
      </c>
      <c r="I255" s="447">
        <f>K$15+N$15</f>
        <v>5.8000000000000007</v>
      </c>
      <c r="J255" s="447">
        <f t="shared" si="59"/>
        <v>232.94693877551023</v>
      </c>
      <c r="K255" s="447">
        <f>SUMPRODUCT($E$14:$E$16,$K$16:$K$18)+SUMPRODUCT($E$24:$E$26,$N$16:$N$18)</f>
        <v>25</v>
      </c>
      <c r="L255" s="448">
        <f t="shared" si="60"/>
        <v>257.94693877551026</v>
      </c>
      <c r="M255" s="449">
        <f>SUMPRODUCT($C$14:$C$16,$K$16:$K$18)+SUMPRODUCT($C$24:$C$26,$N$16:$N$18)</f>
        <v>7</v>
      </c>
      <c r="N255" s="104">
        <f>SUMPRODUCT($D$14:$D$16,$K$16:$K$18)</f>
        <v>21.75</v>
      </c>
      <c r="O255" s="104">
        <v>0</v>
      </c>
      <c r="P255" s="104">
        <v>0</v>
      </c>
      <c r="Q255" s="450">
        <f t="shared" si="66"/>
        <v>19.587908962128143</v>
      </c>
      <c r="R255" s="1310">
        <f>(K$15+1-$J$15)*$O$2+25</f>
        <v>105.32653061224489</v>
      </c>
      <c r="S255" s="1310">
        <v>0</v>
      </c>
      <c r="T255" s="1310">
        <v>0</v>
      </c>
      <c r="U255" s="451">
        <f t="shared" si="67"/>
        <v>1</v>
      </c>
      <c r="V255" s="451">
        <v>0</v>
      </c>
      <c r="W255" s="451">
        <v>0</v>
      </c>
      <c r="X255" s="452">
        <f t="shared" si="62"/>
        <v>1</v>
      </c>
      <c r="Y255" s="447">
        <f t="shared" si="63"/>
        <v>5545.5059224602237</v>
      </c>
      <c r="Z255" s="447">
        <f t="shared" si="68"/>
        <v>3478.402569543387</v>
      </c>
      <c r="AA255" s="447">
        <v>0</v>
      </c>
      <c r="AB255">
        <f>SUMPRODUCT($F$24:$F$26,$N$16:$N$18)*X255</f>
        <v>1459.2710844590233</v>
      </c>
      <c r="AC255" s="447">
        <v>0</v>
      </c>
      <c r="AD255" s="447">
        <v>0</v>
      </c>
      <c r="AE255" s="447">
        <v>0</v>
      </c>
      <c r="AF255" s="448">
        <f t="shared" si="69"/>
        <v>10483.179576462635</v>
      </c>
      <c r="AG255" s="453">
        <f t="shared" si="65"/>
        <v>535.18625171942199</v>
      </c>
      <c r="AH255" s="454">
        <f t="shared" si="70"/>
        <v>2.162091037871857</v>
      </c>
      <c r="AI255" s="104">
        <v>0</v>
      </c>
      <c r="AJ255" s="455">
        <v>0</v>
      </c>
      <c r="AK255" s="456" t="str">
        <f>IF(instatk="Mut","2-4s/5-5e",IF(Sealfate&gt;0,"2-3s/5-5e","2s/5e"))</f>
        <v>2s/5e</v>
      </c>
      <c r="AL255">
        <f>IF(AND(OR(allowrupt,NOT(D255)),OR(AND(poison,allowenv),NOT(F255)),$X$2-AG255&lt;50),MAX($AL$55:$AL254)+1,"")</f>
        <v>57</v>
      </c>
      <c r="AQ255" t="b">
        <v>1</v>
      </c>
    </row>
    <row r="256" spans="2:43">
      <c r="B256" t="s">
        <v>512</v>
      </c>
      <c r="C256" s="445">
        <v>1</v>
      </c>
      <c r="D256" s="64">
        <v>0</v>
      </c>
      <c r="E256" s="64">
        <v>1</v>
      </c>
      <c r="F256" s="64">
        <v>0</v>
      </c>
      <c r="G256" s="64">
        <v>0</v>
      </c>
      <c r="H256" s="446">
        <f t="shared" si="58"/>
        <v>2</v>
      </c>
      <c r="I256" s="447">
        <f>L$15+N$15</f>
        <v>6.8000000000000007</v>
      </c>
      <c r="J256" s="447">
        <f t="shared" si="59"/>
        <v>273.11020408163267</v>
      </c>
      <c r="K256" s="447">
        <f>SUMPRODUCT($E$15:$E$17,$L$16:$L$18)+SUMPRODUCT($E$24:$E$26,$N$16:$N$18)</f>
        <v>20</v>
      </c>
      <c r="L256" s="448">
        <f t="shared" si="60"/>
        <v>293.11020408163267</v>
      </c>
      <c r="M256" s="449">
        <f>SUMPRODUCT($C$15:$C$17,$L$16:$L$18)+SUMPRODUCT($C$24:$C$26,$N$16:$N$18)</f>
        <v>8</v>
      </c>
      <c r="N256" s="104">
        <f>SUMPRODUCT($D$15:$D$17,$L$16:$L$18)</f>
        <v>26.099999999999998</v>
      </c>
      <c r="O256" s="104">
        <v>0</v>
      </c>
      <c r="P256" s="104">
        <v>0</v>
      </c>
      <c r="Q256" s="450">
        <f t="shared" si="66"/>
        <v>22.25812805019773</v>
      </c>
      <c r="R256" s="1310">
        <f>(L$15+1-$J$15)*$O$2+25</f>
        <v>145.48979591836735</v>
      </c>
      <c r="S256" s="1310">
        <v>0</v>
      </c>
      <c r="T256" s="1310">
        <v>0</v>
      </c>
      <c r="U256" s="451">
        <f t="shared" si="67"/>
        <v>1</v>
      </c>
      <c r="V256" s="451">
        <v>0</v>
      </c>
      <c r="W256" s="451">
        <v>0</v>
      </c>
      <c r="X256" s="452">
        <f t="shared" si="62"/>
        <v>1</v>
      </c>
      <c r="Y256" s="447">
        <f t="shared" si="63"/>
        <v>6501.6276332292282</v>
      </c>
      <c r="Z256" s="447">
        <f t="shared" si="68"/>
        <v>3952.5775800124952</v>
      </c>
      <c r="AA256" s="447">
        <v>0</v>
      </c>
      <c r="AB256">
        <f>SUMPRODUCT($F$24:$F$26,$N$16:$N$18)*X256</f>
        <v>1459.2710844590233</v>
      </c>
      <c r="AC256" s="447">
        <v>0</v>
      </c>
      <c r="AD256" s="447">
        <v>0</v>
      </c>
      <c r="AE256" s="447">
        <v>0</v>
      </c>
      <c r="AF256" s="448">
        <f t="shared" si="69"/>
        <v>11913.476297700747</v>
      </c>
      <c r="AG256" s="453">
        <f t="shared" si="65"/>
        <v>535.24161020337533</v>
      </c>
      <c r="AH256" s="454">
        <f t="shared" si="70"/>
        <v>3.8418719498022682</v>
      </c>
      <c r="AI256" s="104">
        <v>0</v>
      </c>
      <c r="AJ256" s="455">
        <v>0</v>
      </c>
      <c r="AK256" s="456" t="str">
        <f>IF(instatk="Mut","3-5s/5-5e",IF(Sealfate&gt;0,"3-4s/5-5e","3s/5e"))</f>
        <v>3s/5e</v>
      </c>
      <c r="AL256">
        <f>IF(AND(OR(allowrupt,NOT(D256)),OR(AND(poison,allowenv),NOT(F256)),$X$2-AG256&lt;50),MAX($AL$55:$AL255)+1,"")</f>
        <v>58</v>
      </c>
      <c r="AQ256" t="b">
        <v>1</v>
      </c>
    </row>
    <row r="257" spans="2:43">
      <c r="B257" t="s">
        <v>513</v>
      </c>
      <c r="C257" s="445">
        <v>1</v>
      </c>
      <c r="D257" s="64">
        <v>0</v>
      </c>
      <c r="E257" s="64">
        <v>1</v>
      </c>
      <c r="F257" s="64">
        <v>0</v>
      </c>
      <c r="G257" s="64">
        <v>0</v>
      </c>
      <c r="H257" s="446">
        <f t="shared" si="58"/>
        <v>2</v>
      </c>
      <c r="I257" s="447">
        <f>M$15+N$15</f>
        <v>7.8000000000000007</v>
      </c>
      <c r="J257" s="447">
        <f t="shared" si="59"/>
        <v>313.27346938775514</v>
      </c>
      <c r="K257" s="447">
        <f>SUMPRODUCT($E$16:$E$18,$M$16:$M$18)+SUMPRODUCT($E$24:$E$26,$N$16:$N$18)</f>
        <v>15</v>
      </c>
      <c r="L257" s="448">
        <f t="shared" si="60"/>
        <v>328.27346938775514</v>
      </c>
      <c r="M257" s="449">
        <f>SUMPRODUCT($C$16:$C$18,$M$16:$M$18)+SUMPRODUCT($C$24:$C$26,$N$16:$N$18)</f>
        <v>9</v>
      </c>
      <c r="N257" s="104">
        <f>SUMPRODUCT($D$16:$D$18,$M$16:$M$18)</f>
        <v>30.45</v>
      </c>
      <c r="O257" s="104">
        <v>0</v>
      </c>
      <c r="P257" s="104">
        <v>0</v>
      </c>
      <c r="Q257" s="450">
        <f t="shared" si="66"/>
        <v>24.92834713826732</v>
      </c>
      <c r="R257" s="1310">
        <f>(M$15+1-$J$15)*$O$2+25</f>
        <v>185.65306122448979</v>
      </c>
      <c r="S257" s="1310">
        <v>0</v>
      </c>
      <c r="T257" s="1310">
        <v>0</v>
      </c>
      <c r="U257" s="451">
        <f t="shared" si="67"/>
        <v>1</v>
      </c>
      <c r="V257" s="451">
        <v>0</v>
      </c>
      <c r="W257" s="451">
        <v>0</v>
      </c>
      <c r="X257" s="452">
        <f t="shared" si="62"/>
        <v>1</v>
      </c>
      <c r="Y257" s="447">
        <f t="shared" si="63"/>
        <v>7457.7493439982318</v>
      </c>
      <c r="Z257" s="447">
        <f t="shared" si="68"/>
        <v>4426.7525904816039</v>
      </c>
      <c r="AA257" s="447">
        <v>0</v>
      </c>
      <c r="AB257">
        <f>SUMPRODUCT($F$24:$F$26,$N$16:$N$18)*X257</f>
        <v>1459.2710844590233</v>
      </c>
      <c r="AC257" s="447">
        <v>0</v>
      </c>
      <c r="AD257" s="447">
        <v>0</v>
      </c>
      <c r="AE257" s="447">
        <v>0</v>
      </c>
      <c r="AF257" s="448">
        <f t="shared" si="69"/>
        <v>13343.773018938859</v>
      </c>
      <c r="AG257" s="453">
        <f t="shared" si="65"/>
        <v>535.28510915410561</v>
      </c>
      <c r="AH257" s="454">
        <f t="shared" si="70"/>
        <v>5.5216528617326794</v>
      </c>
      <c r="AI257" s="104">
        <v>0</v>
      </c>
      <c r="AJ257" s="455">
        <v>0</v>
      </c>
      <c r="AK257" s="456" t="str">
        <f>IF(instatk="Mut","4-5s/5-5e",IF(Sealfate&gt;0,"4-5s/5-5e","4s/5e"))</f>
        <v>4s/5e</v>
      </c>
      <c r="AL257">
        <f>IF(AND(OR(allowrupt,NOT(D257)),OR(AND(poison,allowenv),NOT(F257)),$X$2-AG257&lt;50),MAX($AL$55:$AL256)+1,"")</f>
        <v>59</v>
      </c>
      <c r="AQ257" t="b">
        <v>1</v>
      </c>
    </row>
    <row r="258" spans="2:43" ht="12.75" customHeight="1">
      <c r="B258" t="s">
        <v>2256</v>
      </c>
      <c r="C258" s="445">
        <v>1</v>
      </c>
      <c r="D258" s="64">
        <v>0</v>
      </c>
      <c r="E258" s="64">
        <v>1</v>
      </c>
      <c r="F258" s="64">
        <v>0</v>
      </c>
      <c r="G258" s="64">
        <v>0</v>
      </c>
      <c r="H258" s="446">
        <f t="shared" si="58"/>
        <v>2</v>
      </c>
      <c r="I258" s="447">
        <f>N$15+N$15</f>
        <v>8.8000000000000007</v>
      </c>
      <c r="J258" s="447">
        <f t="shared" si="59"/>
        <v>353.43673469387755</v>
      </c>
      <c r="K258" s="447">
        <f>SUMPRODUCT($E$17:$E$19,$N$16:$N$18)+SUMPRODUCT($E$24:$E$26,$N$16:$N$18)</f>
        <v>10</v>
      </c>
      <c r="L258" s="448">
        <f t="shared" si="60"/>
        <v>363.43673469387755</v>
      </c>
      <c r="M258" s="449">
        <f>SUMPRODUCT($C$17:$C$19,$N$16:$N$18)+SUMPRODUCT($C$24:$C$26,$N$16:$N$18)</f>
        <v>10</v>
      </c>
      <c r="N258" s="104">
        <f>SUMPRODUCT($D$17:$D$19,$N$16:$N$18)</f>
        <v>34.799999999999997</v>
      </c>
      <c r="O258" s="104">
        <v>0</v>
      </c>
      <c r="P258" s="104">
        <v>0</v>
      </c>
      <c r="Q258" s="450">
        <f t="shared" si="66"/>
        <v>27.59856622633691</v>
      </c>
      <c r="R258" s="1310">
        <f>(N$15+1-$J$15)*$O$2+25</f>
        <v>225.81632653061223</v>
      </c>
      <c r="S258" s="1310">
        <v>0</v>
      </c>
      <c r="T258" s="1310">
        <v>0</v>
      </c>
      <c r="U258" s="451">
        <f t="shared" si="67"/>
        <v>1</v>
      </c>
      <c r="V258" s="451">
        <v>0</v>
      </c>
      <c r="W258" s="451">
        <v>0</v>
      </c>
      <c r="X258" s="452">
        <f t="shared" si="62"/>
        <v>1</v>
      </c>
      <c r="Y258" s="447">
        <f t="shared" si="63"/>
        <v>8413.8710547672363</v>
      </c>
      <c r="Z258" s="447">
        <f t="shared" si="68"/>
        <v>4900.927600950713</v>
      </c>
      <c r="AA258" s="447">
        <v>0</v>
      </c>
      <c r="AB258">
        <f>SUMPRODUCT($F$24:$F$26,$N$16:$N$18)*X258</f>
        <v>1459.2710844590233</v>
      </c>
      <c r="AC258" s="447">
        <v>0</v>
      </c>
      <c r="AD258" s="447">
        <v>0</v>
      </c>
      <c r="AE258" s="447">
        <v>0</v>
      </c>
      <c r="AF258" s="448">
        <f t="shared" si="69"/>
        <v>14774.069740176974</v>
      </c>
      <c r="AG258" s="453">
        <f t="shared" si="65"/>
        <v>535.32019087565118</v>
      </c>
      <c r="AH258" s="454">
        <f t="shared" si="70"/>
        <v>7.2014337736630871</v>
      </c>
      <c r="AI258" s="104">
        <v>0</v>
      </c>
      <c r="AJ258" s="455">
        <v>0</v>
      </c>
      <c r="AK258" s="456" t="str">
        <f>IF(instatk="Mut","5-5s/5-5e",IF(Sealfate&gt;0,"5-5s/5-5e","5s/5e"))</f>
        <v>5s/5e</v>
      </c>
      <c r="AL258">
        <f>IF(AND(OR(allowrupt,NOT(D258)),OR(AND(poison,allowenv),NOT(F258)),$X$2-AG258&lt;50),MAX($AL$55:$AL257)+1,"")</f>
        <v>60</v>
      </c>
      <c r="AQ258" t="b">
        <v>1</v>
      </c>
    </row>
    <row r="259" spans="2:43" ht="12.75" customHeight="1">
      <c r="B259" t="s">
        <v>1848</v>
      </c>
      <c r="C259" s="445">
        <v>2</v>
      </c>
      <c r="D259" s="64">
        <v>0</v>
      </c>
      <c r="E259" s="197">
        <v>1</v>
      </c>
      <c r="F259" s="64">
        <v>0</v>
      </c>
      <c r="G259" s="64">
        <v>0</v>
      </c>
      <c r="H259" s="446">
        <f t="shared" si="58"/>
        <v>3</v>
      </c>
      <c r="I259" s="447">
        <f>J$15+M$15+L$15</f>
        <v>6.1999999999999993</v>
      </c>
      <c r="J259" s="447">
        <f t="shared" si="59"/>
        <v>249.01224489795914</v>
      </c>
      <c r="K259" s="94">
        <f>SUMPRODUCT($E$13:$E$15,$J$16:$J$18)+SUMPRODUCT($E$16:$E$18,$M$16:$M$18)+SUMPRODUCT($E$22:$E$24,$L$16:$L$18)</f>
        <v>45</v>
      </c>
      <c r="L259" s="448">
        <f t="shared" si="60"/>
        <v>294.01224489795914</v>
      </c>
      <c r="M259" s="457">
        <f>SUMPRODUCT($C$13:$C$15,$J$16:$J$18)+SUMPRODUCT($C$16:$C$18,$M$16:$M$18)+SUMPRODUCT($C$22:$C$24,$L$16:$L$18)</f>
        <v>8</v>
      </c>
      <c r="N259" s="104">
        <f>SUMPRODUCT($D$13:$D$15,$J$16:$J$18)+SUMPRODUCT($D$16:$D$18,$M$16:$M$18)</f>
        <v>47.849999999999994</v>
      </c>
      <c r="O259" s="104">
        <v>0</v>
      </c>
      <c r="P259" s="104">
        <v>0</v>
      </c>
      <c r="Q259" s="450">
        <f t="shared" si="66"/>
        <v>22.326626996043736</v>
      </c>
      <c r="R259" s="1310">
        <f>(J$15+1-$J$15)*$O$2+25</f>
        <v>65.16326530612244</v>
      </c>
      <c r="S259" s="1310">
        <v>0</v>
      </c>
      <c r="T259" s="1310">
        <v>0</v>
      </c>
      <c r="U259" s="451">
        <f t="shared" si="67"/>
        <v>1</v>
      </c>
      <c r="V259" s="451">
        <v>0</v>
      </c>
      <c r="W259" s="451">
        <v>0</v>
      </c>
      <c r="X259" s="452">
        <f t="shared" si="62"/>
        <v>1</v>
      </c>
      <c r="Y259" s="447">
        <f t="shared" si="63"/>
        <v>5927.9546067678239</v>
      </c>
      <c r="Z259" s="447">
        <f t="shared" si="68"/>
        <v>3964.7415588068843</v>
      </c>
      <c r="AA259" s="447">
        <v>0</v>
      </c>
      <c r="AB259">
        <f>SUMPRODUCT($F$22:$F$24,$L$16:$L$18)*X259</f>
        <v>921.65006995070587</v>
      </c>
      <c r="AC259" s="447">
        <v>0</v>
      </c>
      <c r="AD259" s="447">
        <v>0</v>
      </c>
      <c r="AE259" s="447">
        <v>0</v>
      </c>
      <c r="AF259" s="448">
        <f t="shared" ref="AF259:AF284" si="71">SUM(Y259:AE259)</f>
        <v>10814.346235525412</v>
      </c>
      <c r="AG259" s="453">
        <f t="shared" si="65"/>
        <v>484.36990672355961</v>
      </c>
      <c r="AH259" s="454">
        <f t="shared" si="70"/>
        <v>25.523373003956259</v>
      </c>
      <c r="AI259" s="104">
        <v>0</v>
      </c>
      <c r="AJ259" s="455">
        <v>0</v>
      </c>
      <c r="AK259" s="456" t="str">
        <f>IF(instatk="Mut","1-3s/4-5s/3-5e",IF(Sealfate&gt;0,"1-2s/4-5s/3-4e","1s/4s/3e"))</f>
        <v>1s/4s/3e</v>
      </c>
      <c r="AL259" t="str">
        <f>IF(AND(OR(allowrupt,NOT(D259)),OR(AND(poison,allowenv),NOT(F259)),$X$2-AG259&lt;50),MAX($AL$55:$AL258)+1,"")</f>
        <v/>
      </c>
      <c r="AQ259" t="b">
        <v>1</v>
      </c>
    </row>
    <row r="260" spans="2:43" ht="12.75" customHeight="1">
      <c r="B260" t="s">
        <v>1849</v>
      </c>
      <c r="C260" s="445">
        <v>2</v>
      </c>
      <c r="D260" s="64">
        <v>0</v>
      </c>
      <c r="E260" s="197">
        <v>1</v>
      </c>
      <c r="F260" s="64">
        <v>0</v>
      </c>
      <c r="G260" s="64">
        <v>0</v>
      </c>
      <c r="H260" s="446">
        <f t="shared" si="58"/>
        <v>3</v>
      </c>
      <c r="I260" s="447">
        <f>K$15+M$15+L$15</f>
        <v>7.1999999999999993</v>
      </c>
      <c r="J260" s="447">
        <f t="shared" si="59"/>
        <v>289.1755102040816</v>
      </c>
      <c r="K260" s="94">
        <f>SUMPRODUCT($E$14:$E$16,$K$16:$K$18)+SUMPRODUCT($E$16:$E$18,$M$16:$M$18)+SUMPRODUCT($E$22:$E$24,$L$16:$L$18)</f>
        <v>40</v>
      </c>
      <c r="L260" s="448">
        <f t="shared" si="60"/>
        <v>329.1755102040816</v>
      </c>
      <c r="M260" s="457">
        <f>SUMPRODUCT($C$14:$C$16,$K$16:$K$18)+SUMPRODUCT($C$16:$C$18,$M$16:$M$18)+SUMPRODUCT($C$22:$C$24,$L$16:$L$18)</f>
        <v>9</v>
      </c>
      <c r="N260" s="104">
        <f>SUMPRODUCT($D$14:$D$16,$K$16:$K$18)+SUMPRODUCT($D$16:$D$18,$M$16:$M$18)</f>
        <v>52.2</v>
      </c>
      <c r="O260" s="104">
        <v>0</v>
      </c>
      <c r="P260" s="104">
        <v>0</v>
      </c>
      <c r="Q260" s="450">
        <f t="shared" ref="Q260:Q284" si="72">IF(N260&gt;L260/sndeps,L260/sndeps,N260+(L260/sndeps-N260)*sndeps/eps)</f>
        <v>24.996846084113326</v>
      </c>
      <c r="R260" s="1310">
        <f>(K$15+1-$J$15)*$O$2+25</f>
        <v>105.32653061224489</v>
      </c>
      <c r="S260" s="1310">
        <v>0</v>
      </c>
      <c r="T260" s="1310">
        <v>0</v>
      </c>
      <c r="U260" s="451">
        <f t="shared" si="67"/>
        <v>1</v>
      </c>
      <c r="V260" s="451">
        <v>0</v>
      </c>
      <c r="W260" s="451">
        <v>0</v>
      </c>
      <c r="X260" s="452">
        <f t="shared" si="62"/>
        <v>1</v>
      </c>
      <c r="Y260" s="447">
        <f t="shared" si="63"/>
        <v>6884.0763175368284</v>
      </c>
      <c r="Z260" s="447">
        <f t="shared" si="68"/>
        <v>4438.9165692759934</v>
      </c>
      <c r="AA260" s="447">
        <v>0</v>
      </c>
      <c r="AB260">
        <f>SUMPRODUCT($F$22:$F$24,$L$16:$L$18)*X260</f>
        <v>921.65006995070587</v>
      </c>
      <c r="AC260" s="447">
        <v>0</v>
      </c>
      <c r="AD260" s="447">
        <v>0</v>
      </c>
      <c r="AE260" s="447">
        <v>0</v>
      </c>
      <c r="AF260" s="448">
        <f t="shared" si="71"/>
        <v>12244.642956763528</v>
      </c>
      <c r="AG260" s="453">
        <f t="shared" si="65"/>
        <v>489.84751578502443</v>
      </c>
      <c r="AH260" s="454">
        <f t="shared" si="70"/>
        <v>27.203153915886677</v>
      </c>
      <c r="AI260" s="104">
        <v>0</v>
      </c>
      <c r="AJ260" s="455">
        <v>0</v>
      </c>
      <c r="AK260" s="456" t="str">
        <f>IF(instatk="Mut","2-4s/4-5s/3-5e",IF(Sealfate&gt;0,"2-3s/4-5s/3-4e","2s/4s/3e"))</f>
        <v>2s/4s/3e</v>
      </c>
      <c r="AL260" t="str">
        <f>IF(AND(OR(allowrupt,NOT(D260)),OR(AND(poison,allowenv),NOT(F260)),$X$2-AG260&lt;50),MAX($AL$55:$AL259)+1,"")</f>
        <v/>
      </c>
      <c r="AQ260" t="b">
        <v>1</v>
      </c>
    </row>
    <row r="261" spans="2:43" ht="12.75" customHeight="1">
      <c r="B261" t="s">
        <v>1850</v>
      </c>
      <c r="C261" s="445">
        <v>2</v>
      </c>
      <c r="D261" s="64">
        <v>0</v>
      </c>
      <c r="E261" s="197">
        <v>1</v>
      </c>
      <c r="F261" s="64">
        <v>0</v>
      </c>
      <c r="G261" s="64">
        <v>0</v>
      </c>
      <c r="H261" s="446">
        <f t="shared" si="58"/>
        <v>3</v>
      </c>
      <c r="I261" s="447">
        <f>J$15+M$15+M$15</f>
        <v>7.1999999999999993</v>
      </c>
      <c r="J261" s="447">
        <f t="shared" si="59"/>
        <v>289.1755102040816</v>
      </c>
      <c r="K261" s="94">
        <f>SUMPRODUCT($E$13:$E$15,$J$16:$J$18)+SUMPRODUCT($E$16:$E$18,$M$16:$M$18)+SUMPRODUCT($E$23:$E$25,$M$16:$M$18)</f>
        <v>40</v>
      </c>
      <c r="L261" s="448">
        <f t="shared" si="60"/>
        <v>329.1755102040816</v>
      </c>
      <c r="M261" s="457">
        <f>SUMPRODUCT($C$13:$C$15,$J$16:$J$18)+SUMPRODUCT($C$16:$C$18,$M$16:$M$18)+SUMPRODUCT($C$23:$C$25,$M$16:$M$18)</f>
        <v>9</v>
      </c>
      <c r="N261" s="104">
        <f>SUMPRODUCT($D$13:$D$15,$J$16:$J$18)+SUMPRODUCT($D$16:$D$18,$M$16:$M$18)</f>
        <v>47.849999999999994</v>
      </c>
      <c r="O261" s="104">
        <v>0</v>
      </c>
      <c r="P261" s="104">
        <v>0</v>
      </c>
      <c r="Q261" s="450">
        <f t="shared" si="72"/>
        <v>24.996846084113326</v>
      </c>
      <c r="R261" s="1310">
        <f>(J$15+1-$J$15)*$O$2+25</f>
        <v>65.16326530612244</v>
      </c>
      <c r="S261" s="1310">
        <v>0</v>
      </c>
      <c r="T261" s="1310">
        <v>0</v>
      </c>
      <c r="U261" s="451">
        <f t="shared" si="67"/>
        <v>1</v>
      </c>
      <c r="V261" s="451">
        <v>0</v>
      </c>
      <c r="W261" s="451">
        <v>0</v>
      </c>
      <c r="X261" s="452">
        <f t="shared" si="62"/>
        <v>1</v>
      </c>
      <c r="Y261" s="447">
        <f t="shared" si="63"/>
        <v>6884.0763175368284</v>
      </c>
      <c r="Z261" s="447">
        <f t="shared" si="68"/>
        <v>4438.9165692759934</v>
      </c>
      <c r="AA261" s="447">
        <v>0</v>
      </c>
      <c r="AB261">
        <f>SUMPRODUCT($F$23:$F$25,$M$16:$M$18)*X261</f>
        <v>1190.4605772048644</v>
      </c>
      <c r="AC261" s="447">
        <v>0</v>
      </c>
      <c r="AD261" s="447">
        <v>0</v>
      </c>
      <c r="AE261" s="447">
        <v>0</v>
      </c>
      <c r="AF261" s="448">
        <f t="shared" si="71"/>
        <v>12513.453464017686</v>
      </c>
      <c r="AG261" s="453">
        <f t="shared" si="65"/>
        <v>500.60129273550939</v>
      </c>
      <c r="AH261" s="454">
        <f t="shared" si="70"/>
        <v>22.853153915886669</v>
      </c>
      <c r="AI261" s="104">
        <v>0</v>
      </c>
      <c r="AJ261" s="455">
        <v>0</v>
      </c>
      <c r="AK261" s="456" t="str">
        <f>IF(instatk="Mut","1-3s/4-5s/4-5e",IF(Sealfate&gt;0,"1-2s/4-5s/4-5e","1s/4s/4e"))</f>
        <v>1s/4s/4e</v>
      </c>
      <c r="AL261" t="str">
        <f>IF(AND(OR(allowrupt,NOT(D261)),OR(AND(poison,allowenv),NOT(F261)),$X$2-AG261&lt;50),MAX($AL$55:$AL260)+1,"")</f>
        <v/>
      </c>
      <c r="AQ261" t="b">
        <v>1</v>
      </c>
    </row>
    <row r="262" spans="2:43" ht="12.75" customHeight="1">
      <c r="B262" t="s">
        <v>508</v>
      </c>
      <c r="C262" s="445">
        <v>2</v>
      </c>
      <c r="D262" s="64">
        <v>0</v>
      </c>
      <c r="E262" s="197">
        <v>1</v>
      </c>
      <c r="F262" s="64">
        <v>0</v>
      </c>
      <c r="G262" s="64">
        <v>0</v>
      </c>
      <c r="H262" s="446">
        <f t="shared" si="58"/>
        <v>3</v>
      </c>
      <c r="I262" s="447">
        <f>K$15+M$15+M$15</f>
        <v>8.1999999999999993</v>
      </c>
      <c r="J262" s="447">
        <f t="shared" si="59"/>
        <v>329.33877551020402</v>
      </c>
      <c r="K262" s="94">
        <f>SUMPRODUCT($E$14:$E$16,$K$16:$K$18)+SUMPRODUCT($E$16:$E$18,$M$16:$M$18)+SUMPRODUCT($E$23:$E$25,$M$16:$M$18)</f>
        <v>35</v>
      </c>
      <c r="L262" s="448">
        <f t="shared" si="60"/>
        <v>364.33877551020402</v>
      </c>
      <c r="M262" s="457">
        <f>SUMPRODUCT($C$14:$C$16,$K$16:$K$18)+SUMPRODUCT($C$16:$C$18,$M$16:$M$18)+SUMPRODUCT($C$23:$C$25,$M$16:$M$18)</f>
        <v>10</v>
      </c>
      <c r="N262" s="104">
        <f>SUMPRODUCT($D$14:$D$16,$K$16:$K$18)+SUMPRODUCT($D$16:$D$18,$M$16:$M$18)</f>
        <v>52.2</v>
      </c>
      <c r="O262" s="104">
        <v>0</v>
      </c>
      <c r="P262" s="104">
        <v>0</v>
      </c>
      <c r="Q262" s="450">
        <f t="shared" si="72"/>
        <v>27.667065172182912</v>
      </c>
      <c r="R262" s="1310">
        <f>(K$15+1-$J$15)*$O$2+25</f>
        <v>105.32653061224489</v>
      </c>
      <c r="S262" s="1310">
        <v>0</v>
      </c>
      <c r="T262" s="1310">
        <v>0</v>
      </c>
      <c r="U262" s="451">
        <f t="shared" si="67"/>
        <v>1</v>
      </c>
      <c r="V262" s="451">
        <v>0</v>
      </c>
      <c r="W262" s="451">
        <v>0</v>
      </c>
      <c r="X262" s="452">
        <f t="shared" si="62"/>
        <v>1</v>
      </c>
      <c r="Y262" s="447">
        <f t="shared" si="63"/>
        <v>7840.1980283058319</v>
      </c>
      <c r="Z262" s="447">
        <f t="shared" si="68"/>
        <v>4913.0915797451016</v>
      </c>
      <c r="AA262" s="447">
        <v>0</v>
      </c>
      <c r="AB262">
        <f>SUMPRODUCT($F$23:$F$25,$M$16:$M$18)*X262</f>
        <v>1190.4605772048644</v>
      </c>
      <c r="AC262" s="447">
        <v>0</v>
      </c>
      <c r="AD262" s="447">
        <v>0</v>
      </c>
      <c r="AE262" s="447">
        <v>0</v>
      </c>
      <c r="AF262" s="448">
        <f t="shared" si="71"/>
        <v>13943.750185255798</v>
      </c>
      <c r="AG262" s="453">
        <f t="shared" si="65"/>
        <v>503.98371126385882</v>
      </c>
      <c r="AH262" s="454">
        <f t="shared" si="70"/>
        <v>24.53293482781709</v>
      </c>
      <c r="AI262" s="104">
        <v>0</v>
      </c>
      <c r="AJ262" s="455">
        <v>0</v>
      </c>
      <c r="AK262" s="456" t="str">
        <f>IF(instatk="Mut","2-4s/4-5s/4-5e",IF(Sealfate&gt;0,"2-3s/4-5s/4-5e","2s/4s/4e"))</f>
        <v>2s/4s/4e</v>
      </c>
      <c r="AL262" t="str">
        <f>IF(AND(OR(allowrupt,NOT(D262)),OR(AND(poison,allowenv),NOT(F262)),$X$2-AG262&lt;50),MAX($AL$55:$AL261)+1,"")</f>
        <v/>
      </c>
      <c r="AQ262" t="b">
        <v>1</v>
      </c>
    </row>
    <row r="263" spans="2:43" ht="12.75" customHeight="1">
      <c r="B263" t="s">
        <v>399</v>
      </c>
      <c r="C263" s="445">
        <v>2</v>
      </c>
      <c r="D263" s="64">
        <v>0</v>
      </c>
      <c r="E263" s="197">
        <v>1</v>
      </c>
      <c r="F263" s="64">
        <v>0</v>
      </c>
      <c r="G263" s="64">
        <v>0</v>
      </c>
      <c r="H263" s="446">
        <f t="shared" si="58"/>
        <v>3</v>
      </c>
      <c r="I263" s="447">
        <f>J$15+M$15+N$15</f>
        <v>8.1999999999999993</v>
      </c>
      <c r="J263" s="447">
        <f t="shared" si="59"/>
        <v>329.33877551020402</v>
      </c>
      <c r="K263" s="94">
        <f>SUMPRODUCT($E$13:$E$15,$J$16:$J$18)+SUMPRODUCT($E$16:$E$18,$M$16:$M$18)+SUMPRODUCT($E$24:$E$26,$N$16:$N$18)</f>
        <v>35</v>
      </c>
      <c r="L263" s="448">
        <f t="shared" si="60"/>
        <v>364.33877551020402</v>
      </c>
      <c r="M263" s="457">
        <f>SUMPRODUCT($C$13:$C$15,$J$16:$J$18)+SUMPRODUCT($C$16:$C$18,$M$16:$M$18)+SUMPRODUCT($C$24:$C$26,$N$16:$N$18)</f>
        <v>10</v>
      </c>
      <c r="N263" s="104">
        <f>SUMPRODUCT($D$13:$D$15,$J$16:$J$18)+SUMPRODUCT($D$16:$D$18,$M$16:$M$18)</f>
        <v>47.849999999999994</v>
      </c>
      <c r="O263" s="104">
        <v>0</v>
      </c>
      <c r="P263" s="104">
        <v>0</v>
      </c>
      <c r="Q263" s="450">
        <f t="shared" si="72"/>
        <v>27.667065172182912</v>
      </c>
      <c r="R263" s="1310">
        <f>(J$15+1-$J$15)*$O$2+25</f>
        <v>65.16326530612244</v>
      </c>
      <c r="S263" s="1310">
        <v>0</v>
      </c>
      <c r="T263" s="1310">
        <v>0</v>
      </c>
      <c r="U263" s="451">
        <f t="shared" si="67"/>
        <v>1</v>
      </c>
      <c r="V263" s="451">
        <v>0</v>
      </c>
      <c r="W263" s="451">
        <v>0</v>
      </c>
      <c r="X263" s="452">
        <f t="shared" si="62"/>
        <v>1</v>
      </c>
      <c r="Y263" s="447">
        <f t="shared" si="63"/>
        <v>7840.1980283058319</v>
      </c>
      <c r="Z263" s="447">
        <f t="shared" si="68"/>
        <v>4913.0915797451016</v>
      </c>
      <c r="AA263" s="447">
        <v>0</v>
      </c>
      <c r="AB263">
        <f>SUMPRODUCT($F$24:$F$26,$N$16:$N$18)*X263</f>
        <v>1459.2710844590233</v>
      </c>
      <c r="AC263" s="447">
        <v>0</v>
      </c>
      <c r="AD263" s="447">
        <v>0</v>
      </c>
      <c r="AE263" s="447">
        <v>0</v>
      </c>
      <c r="AF263" s="448">
        <f t="shared" si="71"/>
        <v>14212.560692509958</v>
      </c>
      <c r="AG263" s="453">
        <f t="shared" si="65"/>
        <v>513.69961374868137</v>
      </c>
      <c r="AH263" s="454">
        <f t="shared" si="70"/>
        <v>20.182934827817082</v>
      </c>
      <c r="AI263" s="104">
        <v>0</v>
      </c>
      <c r="AJ263" s="455">
        <v>0</v>
      </c>
      <c r="AK263" s="456" t="str">
        <f>IF(instatk="Mut","1-3s/4-5s/5-5e",IF(Sealfate&gt;0,"1-2s/4-5s/5-5e","1s/4s/5e"))</f>
        <v>1s/4s/5e</v>
      </c>
      <c r="AL263" t="str">
        <f>IF(AND(OR(allowrupt,NOT(D263)),OR(AND(poison,allowenv),NOT(F263)),$X$2-AG263&lt;50),MAX($AL$55:$AL262)+1,"")</f>
        <v/>
      </c>
      <c r="AQ263" t="b">
        <v>1</v>
      </c>
    </row>
    <row r="264" spans="2:43" ht="12.75" customHeight="1">
      <c r="B264" t="s">
        <v>730</v>
      </c>
      <c r="C264" s="445">
        <v>2</v>
      </c>
      <c r="D264" s="64">
        <v>0</v>
      </c>
      <c r="E264" s="197">
        <v>1</v>
      </c>
      <c r="F264" s="64">
        <v>0</v>
      </c>
      <c r="G264" s="64">
        <v>0</v>
      </c>
      <c r="H264" s="446">
        <f t="shared" si="58"/>
        <v>3</v>
      </c>
      <c r="I264" s="447">
        <f>K$15+M$15+N$15</f>
        <v>9.1999999999999993</v>
      </c>
      <c r="J264" s="447">
        <f t="shared" si="59"/>
        <v>369.50204081632648</v>
      </c>
      <c r="K264" s="94">
        <f>SUMPRODUCT($E$14:$E$16,$K$16:$K$18)+SUMPRODUCT($E$16:$E$18,$M$16:$M$18)+SUMPRODUCT($E$24:$E$26,$N$16:$N$18)</f>
        <v>30</v>
      </c>
      <c r="L264" s="448">
        <f t="shared" si="60"/>
        <v>399.50204081632648</v>
      </c>
      <c r="M264" s="457">
        <f>SUMPRODUCT($C$14:$C$16,$K$16:$K$18)+SUMPRODUCT($C$16:$C$18,$M$16:$M$18)+SUMPRODUCT($C$24:$C$26,$N$16:$N$18)</f>
        <v>11</v>
      </c>
      <c r="N264" s="104">
        <f>SUMPRODUCT($D$14:$D$16,$K$16:$K$18)+SUMPRODUCT($D$16:$D$18,$M$16:$M$18)</f>
        <v>52.2</v>
      </c>
      <c r="O264" s="104">
        <v>0</v>
      </c>
      <c r="P264" s="104">
        <v>0</v>
      </c>
      <c r="Q264" s="450">
        <f t="shared" si="72"/>
        <v>30.337284260252506</v>
      </c>
      <c r="R264" s="1310">
        <f>(K$15+1-$J$15)*$O$2+25</f>
        <v>105.32653061224489</v>
      </c>
      <c r="S264" s="1310">
        <v>0</v>
      </c>
      <c r="T264" s="1310">
        <v>0</v>
      </c>
      <c r="U264" s="451">
        <f t="shared" si="67"/>
        <v>1</v>
      </c>
      <c r="V264" s="451">
        <v>0</v>
      </c>
      <c r="W264" s="451">
        <v>0</v>
      </c>
      <c r="X264" s="452">
        <f t="shared" si="62"/>
        <v>1</v>
      </c>
      <c r="Y264" s="447">
        <f t="shared" si="63"/>
        <v>8796.3197390748355</v>
      </c>
      <c r="Z264" s="447">
        <f t="shared" si="68"/>
        <v>5387.2665902142107</v>
      </c>
      <c r="AA264" s="447">
        <v>0</v>
      </c>
      <c r="AB264">
        <f>SUMPRODUCT($F$24:$F$26,$N$16:$N$18)*X264</f>
        <v>1459.2710844590233</v>
      </c>
      <c r="AC264" s="447">
        <v>0</v>
      </c>
      <c r="AD264" s="447">
        <v>0</v>
      </c>
      <c r="AE264" s="447">
        <v>0</v>
      </c>
      <c r="AF264" s="448">
        <f t="shared" si="71"/>
        <v>15642.85741374807</v>
      </c>
      <c r="AG264" s="453">
        <f t="shared" si="65"/>
        <v>515.63143488895366</v>
      </c>
      <c r="AH264" s="454">
        <f t="shared" si="70"/>
        <v>21.862715739747497</v>
      </c>
      <c r="AI264" s="104">
        <v>0</v>
      </c>
      <c r="AJ264" s="455">
        <v>0</v>
      </c>
      <c r="AK264" s="456" t="str">
        <f>IF(instatk="Mut","2-4s/4-5s/5-5e",IF(Sealfate&gt;0,"2-3s/4-5s/5-5e","2s/4s/5e"))</f>
        <v>2s/4s/5e</v>
      </c>
      <c r="AL264" t="str">
        <f>IF(AND(OR(allowrupt,NOT(D264)),OR(AND(poison,allowenv),NOT(F264)),$X$2-AG264&lt;50),MAX($AL$55:$AL263)+1,"")</f>
        <v/>
      </c>
      <c r="AQ264" t="b">
        <v>1</v>
      </c>
    </row>
    <row r="265" spans="2:43" ht="12.75" customHeight="1">
      <c r="B265" t="s">
        <v>400</v>
      </c>
      <c r="C265" s="445">
        <v>2</v>
      </c>
      <c r="D265" s="64">
        <v>0</v>
      </c>
      <c r="E265" s="197">
        <v>1</v>
      </c>
      <c r="F265" s="64">
        <v>0</v>
      </c>
      <c r="G265" s="64">
        <v>0</v>
      </c>
      <c r="H265" s="446">
        <f t="shared" si="58"/>
        <v>3</v>
      </c>
      <c r="I265" s="447">
        <f>J$15+N$15+L$15</f>
        <v>7.2000000000000011</v>
      </c>
      <c r="J265" s="447">
        <f t="shared" si="59"/>
        <v>289.17551020408166</v>
      </c>
      <c r="K265" s="94">
        <f>SUMPRODUCT($E$13:$E$15,$J$16:$J$18)+SUMPRODUCT($E$17:$E$19,$N$16:$N$18)+SUMPRODUCT($E$22:$E$24,$L$16:$L$18)</f>
        <v>40</v>
      </c>
      <c r="L265" s="448">
        <f t="shared" si="60"/>
        <v>329.17551020408166</v>
      </c>
      <c r="M265" s="457">
        <f>SUMPRODUCT($C$13:$C$15,$J$16:$J$18)+SUMPRODUCT($C$17:$C$19,$N$16:$N$18)+SUMPRODUCT($C$22:$C$24,$L$16:$L$18)</f>
        <v>9</v>
      </c>
      <c r="N265" s="104">
        <f>SUMPRODUCT($D$13:$D$15,$J$16:$J$18)+SUMPRODUCT($D$17:$D$19,$N$16:$N$18)</f>
        <v>52.199999999999996</v>
      </c>
      <c r="O265" s="104">
        <v>0</v>
      </c>
      <c r="P265" s="104">
        <v>0</v>
      </c>
      <c r="Q265" s="450">
        <f t="shared" si="72"/>
        <v>24.996846084113329</v>
      </c>
      <c r="R265" s="1310">
        <f>(J$15+1-$J$15)*$O$2+25</f>
        <v>65.16326530612244</v>
      </c>
      <c r="S265" s="1310">
        <v>0</v>
      </c>
      <c r="T265" s="1310">
        <v>0</v>
      </c>
      <c r="U265" s="451">
        <f t="shared" si="67"/>
        <v>1</v>
      </c>
      <c r="V265" s="451">
        <v>0</v>
      </c>
      <c r="W265" s="451">
        <v>0</v>
      </c>
      <c r="X265" s="452">
        <f t="shared" si="62"/>
        <v>1</v>
      </c>
      <c r="Y265" s="447">
        <f t="shared" si="63"/>
        <v>6884.0763175368302</v>
      </c>
      <c r="Z265" s="447">
        <f t="shared" si="68"/>
        <v>4438.9165692759934</v>
      </c>
      <c r="AA265" s="447">
        <v>0</v>
      </c>
      <c r="AB265">
        <f>SUMPRODUCT($F$22:$F$24,$L$16:$L$18)*X265</f>
        <v>921.65006995070587</v>
      </c>
      <c r="AC265" s="447">
        <v>0</v>
      </c>
      <c r="AD265" s="447">
        <v>0</v>
      </c>
      <c r="AE265" s="447">
        <v>0</v>
      </c>
      <c r="AF265" s="448">
        <f t="shared" si="71"/>
        <v>12244.642956763528</v>
      </c>
      <c r="AG265" s="453">
        <f t="shared" si="65"/>
        <v>489.84751578502431</v>
      </c>
      <c r="AH265" s="454">
        <f t="shared" si="70"/>
        <v>27.203153915886666</v>
      </c>
      <c r="AI265" s="104">
        <v>0</v>
      </c>
      <c r="AJ265" s="455">
        <v>0</v>
      </c>
      <c r="AK265" s="456" t="str">
        <f>IF(instatk="Mut","1-3s/5-5s/3-5e",IF(Sealfate&gt;0,"1-2s/5-5s/3-4e","1s/5s/3e"))</f>
        <v>1s/5s/3e</v>
      </c>
      <c r="AL265" t="str">
        <f>IF(AND(OR(allowrupt,NOT(D265)),OR(AND(poison,allowenv),NOT(F265)),$X$2-AG265&lt;50),MAX($AL$55:$AL264)+1,"")</f>
        <v/>
      </c>
      <c r="AQ265" t="b">
        <v>1</v>
      </c>
    </row>
    <row r="266" spans="2:43" ht="12.75" customHeight="1">
      <c r="B266" t="s">
        <v>401</v>
      </c>
      <c r="C266" s="445">
        <v>2</v>
      </c>
      <c r="D266" s="64">
        <v>0</v>
      </c>
      <c r="E266" s="197">
        <v>1</v>
      </c>
      <c r="F266" s="64">
        <v>0</v>
      </c>
      <c r="G266" s="64">
        <v>0</v>
      </c>
      <c r="H266" s="446">
        <f t="shared" si="58"/>
        <v>3</v>
      </c>
      <c r="I266" s="447">
        <f>K$15+N$15+L$15</f>
        <v>8.2000000000000011</v>
      </c>
      <c r="J266" s="447">
        <f t="shared" si="59"/>
        <v>329.33877551020413</v>
      </c>
      <c r="K266" s="94">
        <f>SUMPRODUCT($E$14:$E$16,$K$16:$K$18)+SUMPRODUCT($E$17:$E$19,$N$16:$N$18)+SUMPRODUCT($E$22:$E$24,$L$16:$L$18)</f>
        <v>35</v>
      </c>
      <c r="L266" s="448">
        <f t="shared" si="60"/>
        <v>364.33877551020413</v>
      </c>
      <c r="M266" s="457">
        <f>SUMPRODUCT($C$14:$C$16,$K$16:$K$18)+SUMPRODUCT($C$17:$C$19,$N$16:$N$18)+SUMPRODUCT($C$22:$C$24,$L$16:$L$18)</f>
        <v>10</v>
      </c>
      <c r="N266" s="104">
        <f>SUMPRODUCT($D$14:$D$16,$K$16:$K$18)+SUMPRODUCT($D$17:$D$19,$N$16:$N$18)</f>
        <v>56.55</v>
      </c>
      <c r="O266" s="104">
        <v>0</v>
      </c>
      <c r="P266" s="104">
        <v>0</v>
      </c>
      <c r="Q266" s="450">
        <f t="shared" si="72"/>
        <v>27.667065172182923</v>
      </c>
      <c r="R266" s="1310">
        <f>(K$15+1-$J$15)*$O$2+25</f>
        <v>105.32653061224489</v>
      </c>
      <c r="S266" s="1310">
        <v>0</v>
      </c>
      <c r="T266" s="1310">
        <v>0</v>
      </c>
      <c r="U266" s="451">
        <f t="shared" si="67"/>
        <v>1</v>
      </c>
      <c r="V266" s="451">
        <v>0</v>
      </c>
      <c r="W266" s="451">
        <v>0</v>
      </c>
      <c r="X266" s="452">
        <f t="shared" si="62"/>
        <v>1</v>
      </c>
      <c r="Y266" s="447">
        <f t="shared" si="63"/>
        <v>7840.1980283058338</v>
      </c>
      <c r="Z266" s="447">
        <f t="shared" si="68"/>
        <v>4913.0915797451034</v>
      </c>
      <c r="AA266" s="447">
        <v>0</v>
      </c>
      <c r="AB266">
        <f>SUMPRODUCT($F$22:$F$24,$L$16:$L$18)*X266</f>
        <v>921.65006995070587</v>
      </c>
      <c r="AC266" s="447">
        <v>0</v>
      </c>
      <c r="AD266" s="447">
        <v>0</v>
      </c>
      <c r="AE266" s="447">
        <v>0</v>
      </c>
      <c r="AF266" s="448">
        <f t="shared" si="71"/>
        <v>13674.939678001643</v>
      </c>
      <c r="AG266" s="453">
        <f t="shared" ref="AG266:AG284" si="73">IF(AND(forceea,W266=0),0,IF(time=0, AF266/Q266, IF(time&lt;Q266, 0, AF266/Q266))*AQ266)</f>
        <v>494.26780877903627</v>
      </c>
      <c r="AH266" s="454">
        <f t="shared" si="70"/>
        <v>28.882934827817074</v>
      </c>
      <c r="AI266" s="104">
        <v>0</v>
      </c>
      <c r="AJ266" s="455">
        <v>0</v>
      </c>
      <c r="AK266" s="456" t="str">
        <f>IF(instatk="Mut","2-4s/5-5s/3-5e",IF(Sealfate&gt;0,"2-3s/5-5s/3-4e","2s/5s/3e"))</f>
        <v>2s/5s/3e</v>
      </c>
      <c r="AL266" t="str">
        <f>IF(AND(OR(allowrupt,NOT(D266)),OR(AND(poison,allowenv),NOT(F266)),$X$2-AG266&lt;50),MAX($AL$55:$AL265)+1,"")</f>
        <v/>
      </c>
      <c r="AQ266" t="b">
        <v>1</v>
      </c>
    </row>
    <row r="267" spans="2:43" ht="12.75" customHeight="1">
      <c r="B267" t="s">
        <v>402</v>
      </c>
      <c r="C267" s="445">
        <v>2</v>
      </c>
      <c r="D267" s="64">
        <v>0</v>
      </c>
      <c r="E267" s="197">
        <v>1</v>
      </c>
      <c r="F267" s="64">
        <v>0</v>
      </c>
      <c r="G267" s="64">
        <v>0</v>
      </c>
      <c r="H267" s="446">
        <f t="shared" si="58"/>
        <v>3</v>
      </c>
      <c r="I267" s="447">
        <f>L$15+N$15+L$15</f>
        <v>9.2000000000000011</v>
      </c>
      <c r="J267" s="447">
        <f t="shared" si="59"/>
        <v>369.50204081632654</v>
      </c>
      <c r="K267" s="94">
        <f>SUMPRODUCT($E$15:$E$17,$L$16:$L$18)+SUMPRODUCT($E$17:$E$19,$N$16:$N$18)+SUMPRODUCT($E$22:$E$24,$L$16:$L$18)</f>
        <v>30</v>
      </c>
      <c r="L267" s="448">
        <f t="shared" si="60"/>
        <v>399.50204081632654</v>
      </c>
      <c r="M267" s="457">
        <f>SUMPRODUCT($C$15:$C$17,$L$16:$L$18)+SUMPRODUCT($C$17:$C$19,$N$16:$N$18)+SUMPRODUCT($C$22:$C$24,$L$16:$L$18)</f>
        <v>11</v>
      </c>
      <c r="N267" s="104">
        <f>SUMPRODUCT($D$15:$D$17,$L$16:$L$18)+SUMPRODUCT($D$17:$D$19,$N$16:$N$18)</f>
        <v>60.899999999999991</v>
      </c>
      <c r="O267" s="104">
        <v>0</v>
      </c>
      <c r="P267" s="104">
        <v>0</v>
      </c>
      <c r="Q267" s="450">
        <f t="shared" si="72"/>
        <v>30.33728426025251</v>
      </c>
      <c r="R267" s="1310">
        <f>(L$15+1-$J$15)*$O$2+25</f>
        <v>145.48979591836735</v>
      </c>
      <c r="S267" s="1310">
        <v>0</v>
      </c>
      <c r="T267" s="1310">
        <v>0</v>
      </c>
      <c r="U267" s="451">
        <f t="shared" si="67"/>
        <v>1</v>
      </c>
      <c r="V267" s="451">
        <v>0</v>
      </c>
      <c r="W267" s="451">
        <v>0</v>
      </c>
      <c r="X267" s="452">
        <f t="shared" si="62"/>
        <v>1</v>
      </c>
      <c r="Y267" s="447">
        <f t="shared" si="63"/>
        <v>8796.3197390748373</v>
      </c>
      <c r="Z267" s="447">
        <f t="shared" si="68"/>
        <v>5387.2665902142116</v>
      </c>
      <c r="AA267" s="447">
        <v>0</v>
      </c>
      <c r="AB267">
        <f>SUMPRODUCT($F$22:$F$24,$L$16:$L$18)*X267</f>
        <v>921.65006995070587</v>
      </c>
      <c r="AC267" s="447">
        <v>0</v>
      </c>
      <c r="AD267" s="447">
        <v>0</v>
      </c>
      <c r="AE267" s="447">
        <v>0</v>
      </c>
      <c r="AF267" s="448">
        <f t="shared" si="71"/>
        <v>15105.236399239755</v>
      </c>
      <c r="AG267" s="453">
        <f t="shared" si="73"/>
        <v>497.90997340623619</v>
      </c>
      <c r="AH267" s="454">
        <f t="shared" si="70"/>
        <v>30.562715739747482</v>
      </c>
      <c r="AI267" s="104">
        <v>0</v>
      </c>
      <c r="AJ267" s="455">
        <v>0</v>
      </c>
      <c r="AK267" s="456" t="str">
        <f>IF(instatk="Mut","3-5s/5-5s/3-5e",IF(Sealfate&gt;0,"3-4s/5-5s/3-4e","3s/5s/3e"))</f>
        <v>3s/5s/3e</v>
      </c>
      <c r="AL267" t="str">
        <f>IF(AND(OR(allowrupt,NOT(D267)),OR(AND(poison,allowenv),NOT(F267)),$X$2-AG267&lt;50),MAX($AL$55:$AL266)+1,"")</f>
        <v/>
      </c>
      <c r="AQ267" t="b">
        <v>1</v>
      </c>
    </row>
    <row r="268" spans="2:43" ht="12.75" customHeight="1">
      <c r="B268" t="s">
        <v>403</v>
      </c>
      <c r="C268" s="445">
        <v>2</v>
      </c>
      <c r="D268" s="64">
        <v>0</v>
      </c>
      <c r="E268" s="197">
        <v>1</v>
      </c>
      <c r="F268" s="64">
        <v>0</v>
      </c>
      <c r="G268" s="64">
        <v>0</v>
      </c>
      <c r="H268" s="446">
        <f t="shared" si="58"/>
        <v>3</v>
      </c>
      <c r="I268" s="447">
        <f>J$15+N$15+M$15</f>
        <v>8.2000000000000011</v>
      </c>
      <c r="J268" s="447">
        <f t="shared" si="59"/>
        <v>329.33877551020413</v>
      </c>
      <c r="K268" s="94">
        <f>SUMPRODUCT($E$13:$E$15,$J$16:$J$18)+SUMPRODUCT($E$17:$E$19,$N$16:$N$18)+SUMPRODUCT($E$23:$E$25,$M$16:$M$18)</f>
        <v>35</v>
      </c>
      <c r="L268" s="448">
        <f t="shared" si="60"/>
        <v>364.33877551020413</v>
      </c>
      <c r="M268" s="457">
        <f>SUMPRODUCT($C$13:$C$15,$J$16:$J$18)+SUMPRODUCT($C$17:$C$19,$N$16:$N$18)+SUMPRODUCT($C$23:$C$25,$M$16:$M$18)</f>
        <v>10</v>
      </c>
      <c r="N268" s="104">
        <f>SUMPRODUCT($D$13:$D$15,$J$16:$J$18)+SUMPRODUCT($D$17:$D$19,$N$16:$N$18)</f>
        <v>52.199999999999996</v>
      </c>
      <c r="O268" s="104">
        <v>0</v>
      </c>
      <c r="P268" s="104">
        <v>0</v>
      </c>
      <c r="Q268" s="450">
        <f t="shared" si="72"/>
        <v>27.667065172182923</v>
      </c>
      <c r="R268" s="1310">
        <f>(J$15+1-$J$15)*$O$2+25</f>
        <v>65.16326530612244</v>
      </c>
      <c r="S268" s="1310">
        <v>0</v>
      </c>
      <c r="T268" s="1310">
        <v>0</v>
      </c>
      <c r="U268" s="451">
        <f t="shared" si="67"/>
        <v>1</v>
      </c>
      <c r="V268" s="451">
        <v>0</v>
      </c>
      <c r="W268" s="451">
        <v>0</v>
      </c>
      <c r="X268" s="452">
        <f t="shared" si="62"/>
        <v>1</v>
      </c>
      <c r="Y268" s="447">
        <f t="shared" si="63"/>
        <v>7840.1980283058338</v>
      </c>
      <c r="Z268" s="447">
        <f t="shared" si="68"/>
        <v>4913.0915797451034</v>
      </c>
      <c r="AA268" s="447">
        <v>0</v>
      </c>
      <c r="AB268">
        <f>SUMPRODUCT($F$23:$F$25,$M$16:$M$18)*X268</f>
        <v>1190.4605772048644</v>
      </c>
      <c r="AC268" s="447">
        <v>0</v>
      </c>
      <c r="AD268" s="447">
        <v>0</v>
      </c>
      <c r="AE268" s="447">
        <v>0</v>
      </c>
      <c r="AF268" s="448">
        <f t="shared" si="71"/>
        <v>13943.750185255802</v>
      </c>
      <c r="AG268" s="453">
        <f t="shared" si="73"/>
        <v>503.98371126385877</v>
      </c>
      <c r="AH268" s="454">
        <f t="shared" si="70"/>
        <v>24.532934827817073</v>
      </c>
      <c r="AI268" s="104">
        <v>0</v>
      </c>
      <c r="AJ268" s="455">
        <v>0</v>
      </c>
      <c r="AK268" s="456" t="str">
        <f>IF(instatk="Mut","1-3s/5-5s/4-5e",IF(Sealfate&gt;0,"1-2s/5-5s/4-5e","1s/5s/4e"))</f>
        <v>1s/5s/4e</v>
      </c>
      <c r="AL268" t="str">
        <f>IF(AND(OR(allowrupt,NOT(D268)),OR(AND(poison,allowenv),NOT(F268)),$X$2-AG268&lt;50),MAX($AL$55:$AL267)+1,"")</f>
        <v/>
      </c>
      <c r="AQ268" t="b">
        <v>1</v>
      </c>
    </row>
    <row r="269" spans="2:43" ht="12.75" customHeight="1">
      <c r="B269" t="s">
        <v>507</v>
      </c>
      <c r="C269" s="445">
        <v>2</v>
      </c>
      <c r="D269" s="64">
        <v>0</v>
      </c>
      <c r="E269" s="197">
        <v>1</v>
      </c>
      <c r="F269" s="64">
        <v>0</v>
      </c>
      <c r="G269" s="64">
        <v>0</v>
      </c>
      <c r="H269" s="446">
        <f t="shared" si="58"/>
        <v>3</v>
      </c>
      <c r="I269" s="447">
        <f>K$15+N$15+M$15</f>
        <v>9.2000000000000011</v>
      </c>
      <c r="J269" s="447">
        <f t="shared" si="59"/>
        <v>369.50204081632654</v>
      </c>
      <c r="K269" s="94">
        <f>SUMPRODUCT($E$14:$E$16,$K$16:$K$18)+SUMPRODUCT($E$17:$E$19,$N$16:$N$18)+SUMPRODUCT($E$23:$E$25,$M$16:$M$18)</f>
        <v>30</v>
      </c>
      <c r="L269" s="448">
        <f t="shared" si="60"/>
        <v>399.50204081632654</v>
      </c>
      <c r="M269" s="457">
        <f>SUMPRODUCT($C$14:$C$16,$K$16:$K$18)+SUMPRODUCT($C$17:$C$19,$N$16:$N$18)+SUMPRODUCT($C$23:$C$25,$M$16:$M$18)</f>
        <v>11</v>
      </c>
      <c r="N269" s="104">
        <f>SUMPRODUCT($D$14:$D$16,$K$16:$K$18)+SUMPRODUCT($D$17:$D$19,$N$16:$N$18)</f>
        <v>56.55</v>
      </c>
      <c r="O269" s="104">
        <v>0</v>
      </c>
      <c r="P269" s="104">
        <v>0</v>
      </c>
      <c r="Q269" s="450">
        <f t="shared" si="72"/>
        <v>30.33728426025251</v>
      </c>
      <c r="R269" s="1310">
        <f>(K$15+1-$J$15)*$O$2+25</f>
        <v>105.32653061224489</v>
      </c>
      <c r="S269" s="1310">
        <v>0</v>
      </c>
      <c r="T269" s="1310">
        <v>0</v>
      </c>
      <c r="U269" s="451">
        <f t="shared" si="67"/>
        <v>1</v>
      </c>
      <c r="V269" s="451">
        <v>0</v>
      </c>
      <c r="W269" s="451">
        <v>0</v>
      </c>
      <c r="X269" s="452">
        <f t="shared" si="62"/>
        <v>1</v>
      </c>
      <c r="Y269" s="447">
        <f t="shared" si="63"/>
        <v>8796.3197390748373</v>
      </c>
      <c r="Z269" s="447">
        <f t="shared" si="68"/>
        <v>5387.2665902142116</v>
      </c>
      <c r="AA269" s="447">
        <v>0</v>
      </c>
      <c r="AB269">
        <f>SUMPRODUCT($F$23:$F$25,$M$16:$M$18)*X269</f>
        <v>1190.4605772048644</v>
      </c>
      <c r="AC269" s="447">
        <v>0</v>
      </c>
      <c r="AD269" s="447">
        <v>0</v>
      </c>
      <c r="AE269" s="447">
        <v>0</v>
      </c>
      <c r="AF269" s="448">
        <f t="shared" si="71"/>
        <v>15374.046906493913</v>
      </c>
      <c r="AG269" s="453">
        <f t="shared" si="73"/>
        <v>506.77070414759493</v>
      </c>
      <c r="AH269" s="454">
        <f t="shared" si="70"/>
        <v>26.212715739747487</v>
      </c>
      <c r="AI269" s="104">
        <v>0</v>
      </c>
      <c r="AJ269" s="455">
        <v>0</v>
      </c>
      <c r="AK269" s="456" t="str">
        <f>IF(instatk="Mut","2-4s/5-5s/4-5e",IF(Sealfate&gt;0,"2-3s/5-5s/4-5e","2s/5s/4e"))</f>
        <v>2s/5s/4e</v>
      </c>
      <c r="AL269" t="str">
        <f>IF(AND(OR(allowrupt,NOT(D269)),OR(AND(poison,allowenv),NOT(F269)),$X$2-AG269&lt;50),MAX($AL$55:$AL268)+1,"")</f>
        <v/>
      </c>
      <c r="AQ269" t="b">
        <v>1</v>
      </c>
    </row>
    <row r="270" spans="2:43" ht="12.75" customHeight="1">
      <c r="B270" t="s">
        <v>506</v>
      </c>
      <c r="C270" s="445">
        <v>2</v>
      </c>
      <c r="D270" s="64">
        <v>0</v>
      </c>
      <c r="E270" s="197">
        <v>1</v>
      </c>
      <c r="F270" s="64">
        <v>0</v>
      </c>
      <c r="G270" s="64">
        <v>0</v>
      </c>
      <c r="H270" s="446">
        <f t="shared" si="58"/>
        <v>3</v>
      </c>
      <c r="I270" s="447">
        <f>L$15+N$15+M$15</f>
        <v>10.200000000000001</v>
      </c>
      <c r="J270" s="447">
        <f t="shared" si="59"/>
        <v>409.66530612244901</v>
      </c>
      <c r="K270" s="94">
        <f>SUMPRODUCT($E$15:$E$17,$L$16:$L$18)+SUMPRODUCT($E$17:$E$19,$N$16:$N$18)+SUMPRODUCT($E$23:$E$25,$M$16:$M$18)</f>
        <v>25</v>
      </c>
      <c r="L270" s="448">
        <f t="shared" si="60"/>
        <v>434.66530612244901</v>
      </c>
      <c r="M270" s="457">
        <f>SUMPRODUCT($C$15:$C$17,$L$16:$L$18)+SUMPRODUCT($C$17:$C$19,$N$16:$N$18)+SUMPRODUCT($C$23:$C$25,$M$16:$M$18)</f>
        <v>12</v>
      </c>
      <c r="N270" s="104">
        <f>SUMPRODUCT($D$15:$D$17,$L$16:$L$18)+SUMPRODUCT($D$17:$D$19,$N$16:$N$18)</f>
        <v>60.899999999999991</v>
      </c>
      <c r="O270" s="104">
        <v>0</v>
      </c>
      <c r="P270" s="104">
        <v>0</v>
      </c>
      <c r="Q270" s="450">
        <f t="shared" si="72"/>
        <v>33.007503348322103</v>
      </c>
      <c r="R270" s="1310">
        <f>(L$15+1-$J$15)*$O$2+25</f>
        <v>145.48979591836735</v>
      </c>
      <c r="S270" s="1310">
        <v>0</v>
      </c>
      <c r="T270" s="1310">
        <v>0</v>
      </c>
      <c r="U270" s="451">
        <f t="shared" si="67"/>
        <v>1</v>
      </c>
      <c r="V270" s="451">
        <v>0</v>
      </c>
      <c r="W270" s="451">
        <v>0</v>
      </c>
      <c r="X270" s="452">
        <f t="shared" si="62"/>
        <v>1</v>
      </c>
      <c r="Y270" s="447">
        <f t="shared" si="63"/>
        <v>9752.4414498438418</v>
      </c>
      <c r="Z270" s="447">
        <f t="shared" si="68"/>
        <v>5861.4416006833208</v>
      </c>
      <c r="AA270" s="447">
        <v>0</v>
      </c>
      <c r="AB270">
        <f>SUMPRODUCT($F$23:$F$25,$M$16:$M$18)*X270</f>
        <v>1190.4605772048644</v>
      </c>
      <c r="AC270" s="447">
        <v>0</v>
      </c>
      <c r="AD270" s="447">
        <v>0</v>
      </c>
      <c r="AE270" s="447">
        <v>0</v>
      </c>
      <c r="AF270" s="448">
        <f t="shared" si="71"/>
        <v>16804.343627732025</v>
      </c>
      <c r="AG270" s="453">
        <f t="shared" si="73"/>
        <v>509.1067764319792</v>
      </c>
      <c r="AH270" s="454">
        <f t="shared" si="70"/>
        <v>27.892496651677888</v>
      </c>
      <c r="AI270" s="104">
        <v>0</v>
      </c>
      <c r="AJ270" s="455">
        <v>0</v>
      </c>
      <c r="AK270" s="456" t="str">
        <f>IF(instatk="Mut","3-5s/5-5s/4-5e",IF(Sealfate&gt;0,"3-4s/5-5s/4-5e","3s/5s/4e"))</f>
        <v>3s/5s/4e</v>
      </c>
      <c r="AL270" t="str">
        <f>IF(AND(OR(allowrupt,NOT(D270)),OR(AND(poison,allowenv),NOT(F270)),$X$2-AG270&lt;50),MAX($AL$55:$AL269)+1,"")</f>
        <v/>
      </c>
      <c r="AQ270" t="b">
        <v>1</v>
      </c>
    </row>
    <row r="271" spans="2:43" ht="12.75" customHeight="1">
      <c r="B271" t="s">
        <v>404</v>
      </c>
      <c r="C271" s="445">
        <v>2</v>
      </c>
      <c r="D271" s="64">
        <v>0</v>
      </c>
      <c r="E271" s="197">
        <v>1</v>
      </c>
      <c r="F271" s="64">
        <v>0</v>
      </c>
      <c r="G271" s="64">
        <v>0</v>
      </c>
      <c r="H271" s="446">
        <f t="shared" si="58"/>
        <v>3</v>
      </c>
      <c r="I271" s="447">
        <f>J$15+N$15+N$15</f>
        <v>9.2000000000000011</v>
      </c>
      <c r="J271" s="447">
        <f t="shared" si="59"/>
        <v>369.50204081632654</v>
      </c>
      <c r="K271" s="94">
        <f>SUMPRODUCT($E$13:$E$15,$J$16:$J$18)+SUMPRODUCT($E$17:$E$19,$N$16:$N$18)+SUMPRODUCT($E$24:$E$26,$N$16:$N$18)</f>
        <v>30</v>
      </c>
      <c r="L271" s="448">
        <f t="shared" si="60"/>
        <v>399.50204081632654</v>
      </c>
      <c r="M271" s="457">
        <f>SUMPRODUCT($C$13:$C$15,$J$16:$J$18)+SUMPRODUCT($C$17:$C$19,$N$16:$N$18)+SUMPRODUCT($C$24:$C$26,$N$16:$N$18)</f>
        <v>11</v>
      </c>
      <c r="N271" s="104">
        <f>SUMPRODUCT($D$13:$D$15,$J$16:$J$18)+SUMPRODUCT($D$17:$D$19,$N$16:$N$18)</f>
        <v>52.199999999999996</v>
      </c>
      <c r="O271" s="104">
        <v>0</v>
      </c>
      <c r="P271" s="104">
        <v>0</v>
      </c>
      <c r="Q271" s="450">
        <f t="shared" si="72"/>
        <v>30.33728426025251</v>
      </c>
      <c r="R271" s="1310">
        <f>(J$15+1-$J$15)*$O$2+25</f>
        <v>65.16326530612244</v>
      </c>
      <c r="S271" s="1310">
        <v>0</v>
      </c>
      <c r="T271" s="1310">
        <v>0</v>
      </c>
      <c r="U271" s="451">
        <f t="shared" si="67"/>
        <v>1</v>
      </c>
      <c r="V271" s="451">
        <v>0</v>
      </c>
      <c r="W271" s="451">
        <v>0</v>
      </c>
      <c r="X271" s="452">
        <f t="shared" si="62"/>
        <v>1</v>
      </c>
      <c r="Y271" s="447">
        <f t="shared" si="63"/>
        <v>8796.3197390748373</v>
      </c>
      <c r="Z271" s="447">
        <f t="shared" si="68"/>
        <v>5387.2665902142116</v>
      </c>
      <c r="AA271" s="447">
        <v>0</v>
      </c>
      <c r="AB271">
        <f>SUMPRODUCT($F$24:$F$26,$N$16:$N$18)*X271</f>
        <v>1459.2710844590233</v>
      </c>
      <c r="AC271" s="447">
        <v>0</v>
      </c>
      <c r="AD271" s="447">
        <v>0</v>
      </c>
      <c r="AE271" s="447">
        <v>0</v>
      </c>
      <c r="AF271" s="448">
        <f t="shared" si="71"/>
        <v>15642.857413748074</v>
      </c>
      <c r="AG271" s="453">
        <f t="shared" si="73"/>
        <v>515.63143488895378</v>
      </c>
      <c r="AH271" s="454">
        <f t="shared" si="70"/>
        <v>21.862715739747486</v>
      </c>
      <c r="AI271" s="104">
        <v>0</v>
      </c>
      <c r="AJ271" s="455">
        <v>0</v>
      </c>
      <c r="AK271" s="456" t="str">
        <f>IF(instatk="Mut","1-3s/5-5s/5-5e",IF(Sealfate&gt;0,"1-2s/5-5s/5-5e","1s/5s/5e"))</f>
        <v>1s/5s/5e</v>
      </c>
      <c r="AL271" t="str">
        <f>IF(AND(OR(allowrupt,NOT(D271)),OR(AND(poison,allowenv),NOT(F271)),$X$2-AG271&lt;50),MAX($AL$55:$AL270)+1,"")</f>
        <v/>
      </c>
      <c r="AQ271" t="b">
        <v>1</v>
      </c>
    </row>
    <row r="272" spans="2:43" ht="12.75" customHeight="1">
      <c r="B272" t="s">
        <v>729</v>
      </c>
      <c r="C272" s="445">
        <v>2</v>
      </c>
      <c r="D272" s="64">
        <v>0</v>
      </c>
      <c r="E272" s="197">
        <v>1</v>
      </c>
      <c r="F272" s="64">
        <v>0</v>
      </c>
      <c r="G272" s="64">
        <v>0</v>
      </c>
      <c r="H272" s="446">
        <f t="shared" si="58"/>
        <v>3</v>
      </c>
      <c r="I272" s="447">
        <f>K$15+N$15+N$15</f>
        <v>10.200000000000001</v>
      </c>
      <c r="J272" s="447">
        <f t="shared" si="59"/>
        <v>409.66530612244901</v>
      </c>
      <c r="K272" s="94">
        <f>SUMPRODUCT($E$14:$E$16,$K$16:$K$18)+SUMPRODUCT($E$17:$E$19,$N$16:$N$18)+SUMPRODUCT($E$24:$E$26,$N$16:$N$18)</f>
        <v>25</v>
      </c>
      <c r="L272" s="448">
        <f t="shared" si="60"/>
        <v>434.66530612244901</v>
      </c>
      <c r="M272" s="457">
        <f>SUMPRODUCT($C$14:$C$16,$K$16:$K$18)+SUMPRODUCT($C$17:$C$19,$N$16:$N$18)+SUMPRODUCT($C$24:$C$26,$N$16:$N$18)</f>
        <v>12</v>
      </c>
      <c r="N272" s="104">
        <f>SUMPRODUCT($D$14:$D$16,$K$16:$K$18)+SUMPRODUCT($D$17:$D$19,$N$16:$N$18)</f>
        <v>56.55</v>
      </c>
      <c r="O272" s="104">
        <v>0</v>
      </c>
      <c r="P272" s="104">
        <v>0</v>
      </c>
      <c r="Q272" s="450">
        <f t="shared" si="72"/>
        <v>33.007503348322103</v>
      </c>
      <c r="R272" s="1310">
        <f>(K$15+1-$J$15)*$O$2+25</f>
        <v>105.32653061224489</v>
      </c>
      <c r="S272" s="1310">
        <v>0</v>
      </c>
      <c r="T272" s="1310">
        <v>0</v>
      </c>
      <c r="U272" s="451">
        <f t="shared" si="67"/>
        <v>1</v>
      </c>
      <c r="V272" s="451">
        <v>0</v>
      </c>
      <c r="W272" s="451">
        <v>0</v>
      </c>
      <c r="X272" s="452">
        <f t="shared" si="62"/>
        <v>1</v>
      </c>
      <c r="Y272" s="447">
        <f t="shared" si="63"/>
        <v>9752.4414498438418</v>
      </c>
      <c r="Z272" s="447">
        <f t="shared" si="68"/>
        <v>5861.4416006833208</v>
      </c>
      <c r="AA272" s="447">
        <v>0</v>
      </c>
      <c r="AB272">
        <f>SUMPRODUCT($F$24:$F$26,$N$16:$N$18)*X272</f>
        <v>1459.2710844590233</v>
      </c>
      <c r="AC272" s="447">
        <v>0</v>
      </c>
      <c r="AD272" s="447">
        <v>0</v>
      </c>
      <c r="AE272" s="447">
        <v>0</v>
      </c>
      <c r="AF272" s="448">
        <f t="shared" si="71"/>
        <v>17073.154134986184</v>
      </c>
      <c r="AG272" s="453">
        <f t="shared" si="73"/>
        <v>517.25069766156901</v>
      </c>
      <c r="AH272" s="454">
        <f t="shared" si="70"/>
        <v>23.542496651677894</v>
      </c>
      <c r="AI272" s="104">
        <v>0</v>
      </c>
      <c r="AJ272" s="455">
        <v>0</v>
      </c>
      <c r="AK272" s="456" t="str">
        <f>IF(instatk="Mut","2-4s/5-5s/5-5e",IF(Sealfate&gt;0,"2-3s/5-5s/5-5e","2s/5s/5e"))</f>
        <v>2s/5s/5e</v>
      </c>
      <c r="AL272" t="str">
        <f>IF(AND(OR(allowrupt,NOT(D272)),OR(AND(poison,allowenv),NOT(F272)),$X$2-AG272&lt;50),MAX($AL$55:$AL271)+1,"")</f>
        <v/>
      </c>
      <c r="AQ272" t="b">
        <v>1</v>
      </c>
    </row>
    <row r="273" spans="1:43" ht="12.75" customHeight="1">
      <c r="B273" t="s">
        <v>181</v>
      </c>
      <c r="C273" s="445">
        <v>2</v>
      </c>
      <c r="D273" s="64">
        <v>0</v>
      </c>
      <c r="E273" s="197">
        <v>1</v>
      </c>
      <c r="F273" s="64">
        <v>0</v>
      </c>
      <c r="G273" s="64">
        <v>0</v>
      </c>
      <c r="H273" s="446">
        <f t="shared" si="58"/>
        <v>3</v>
      </c>
      <c r="I273" s="447">
        <f>L$15+N$15+N$15</f>
        <v>11.200000000000001</v>
      </c>
      <c r="J273" s="447">
        <f t="shared" si="59"/>
        <v>449.82857142857148</v>
      </c>
      <c r="K273" s="94">
        <f>SUMPRODUCT($E$15:$E$17,$L$16:$L$18)+SUMPRODUCT($E$17:$E$19,$N$16:$N$18)+SUMPRODUCT($E$24:$E$26,$N$16:$N$18)</f>
        <v>20</v>
      </c>
      <c r="L273" s="448">
        <f t="shared" si="60"/>
        <v>469.82857142857148</v>
      </c>
      <c r="M273" s="457">
        <f>SUMPRODUCT($C$15:$C$17,$L$16:$L$18)+SUMPRODUCT($C$17:$C$19,$N$16:$N$18)+SUMPRODUCT($C$24:$C$26,$N$16:$N$18)</f>
        <v>13</v>
      </c>
      <c r="N273" s="104">
        <f>SUMPRODUCT($D$15:$D$17,$L$16:$L$18)+SUMPRODUCT($D$17:$D$19,$N$16:$N$18)</f>
        <v>60.899999999999991</v>
      </c>
      <c r="O273" s="104">
        <v>0</v>
      </c>
      <c r="P273" s="104">
        <v>0</v>
      </c>
      <c r="Q273" s="450">
        <f t="shared" si="72"/>
        <v>35.677722436391697</v>
      </c>
      <c r="R273" s="1310">
        <f>(L$15+1-$J$15)*$O$2+25</f>
        <v>145.48979591836735</v>
      </c>
      <c r="S273" s="1310">
        <v>0</v>
      </c>
      <c r="T273" s="1310">
        <v>0</v>
      </c>
      <c r="U273" s="451">
        <f t="shared" si="67"/>
        <v>1</v>
      </c>
      <c r="V273" s="451">
        <v>0</v>
      </c>
      <c r="W273" s="451">
        <v>0</v>
      </c>
      <c r="X273" s="452">
        <f t="shared" si="62"/>
        <v>1</v>
      </c>
      <c r="Y273" s="447">
        <f t="shared" si="63"/>
        <v>10708.563160612846</v>
      </c>
      <c r="Z273" s="447">
        <f t="shared" si="68"/>
        <v>6335.6166111524299</v>
      </c>
      <c r="AA273" s="447">
        <v>0</v>
      </c>
      <c r="AB273">
        <f>SUMPRODUCT($F$24:$F$26,$N$16:$N$18)*X273</f>
        <v>1459.2710844590233</v>
      </c>
      <c r="AC273" s="447">
        <v>0</v>
      </c>
      <c r="AD273" s="447">
        <v>0</v>
      </c>
      <c r="AE273" s="447">
        <v>0</v>
      </c>
      <c r="AF273" s="448">
        <f t="shared" si="71"/>
        <v>18503.450856224299</v>
      </c>
      <c r="AG273" s="453">
        <f t="shared" si="73"/>
        <v>518.62758025581138</v>
      </c>
      <c r="AH273" s="454">
        <f t="shared" si="70"/>
        <v>25.222277563608294</v>
      </c>
      <c r="AI273" s="104">
        <v>0</v>
      </c>
      <c r="AJ273" s="455">
        <v>0</v>
      </c>
      <c r="AK273" s="456" t="str">
        <f>IF(instatk="Mut","3-5s/5-5s/5-5e",IF(Sealfate&gt;0,"3-4s/5-5s/5-5e","3s/5s/5e"))</f>
        <v>3s/5s/5e</v>
      </c>
      <c r="AL273" t="str">
        <f>IF(AND(OR(allowrupt,NOT(D273)),OR(AND(poison,allowenv),NOT(F273)),$X$2-AG273&lt;50),MAX($AL$55:$AL272)+1,"")</f>
        <v/>
      </c>
      <c r="AQ273" t="b">
        <v>1</v>
      </c>
    </row>
    <row r="274" spans="1:43" ht="12.75" customHeight="1">
      <c r="B274" s="15" t="s">
        <v>405</v>
      </c>
      <c r="C274" s="445">
        <v>0</v>
      </c>
      <c r="D274" s="64">
        <v>0</v>
      </c>
      <c r="E274" s="64">
        <v>0</v>
      </c>
      <c r="F274" s="64">
        <v>0</v>
      </c>
      <c r="G274" s="197">
        <v>1</v>
      </c>
      <c r="H274" s="446">
        <f t="shared" si="58"/>
        <v>1</v>
      </c>
      <c r="I274" s="447">
        <f>$N$15</f>
        <v>4.4000000000000004</v>
      </c>
      <c r="J274" s="447">
        <f t="shared" si="59"/>
        <v>176.71836734693878</v>
      </c>
      <c r="K274" s="447">
        <f>SUMPRODUCT($E$45:$E$47,$N$16:$N$18)</f>
        <v>0</v>
      </c>
      <c r="L274" s="448">
        <f t="shared" si="60"/>
        <v>176.71836734693878</v>
      </c>
      <c r="M274" s="449">
        <f>SUMPRODUCT($C$45:$C$47,$N$16:$N$18)</f>
        <v>5</v>
      </c>
      <c r="N274" s="104">
        <v>0</v>
      </c>
      <c r="O274" s="104">
        <v>0</v>
      </c>
      <c r="P274" s="104">
        <f>SUMPRODUCT($D$45:$D$47,$N$16:$N$18)</f>
        <v>30</v>
      </c>
      <c r="Q274" s="450">
        <f t="shared" si="72"/>
        <v>14.25706933247012</v>
      </c>
      <c r="R274" s="1310">
        <v>0</v>
      </c>
      <c r="S274" s="1310">
        <v>0</v>
      </c>
      <c r="T274" s="1310">
        <f>(N$15+1-$J$15)*$O$2+$O$3</f>
        <v>225.81632653061223</v>
      </c>
      <c r="U274" s="451">
        <f t="shared" si="67"/>
        <v>0</v>
      </c>
      <c r="V274" s="451">
        <v>0</v>
      </c>
      <c r="W274" s="451">
        <f t="shared" ref="W274:W284" si="74">IF(P274&gt;0,MIN(1,P274/Q274),0)</f>
        <v>1</v>
      </c>
      <c r="X274" s="452">
        <f t="shared" si="62"/>
        <v>1</v>
      </c>
      <c r="Y274" s="447">
        <f t="shared" si="63"/>
        <v>4206.9355273836181</v>
      </c>
      <c r="Z274" s="447">
        <f t="shared" si="68"/>
        <v>0</v>
      </c>
      <c r="AA274" s="447">
        <v>0</v>
      </c>
      <c r="AB274" s="447">
        <v>0</v>
      </c>
      <c r="AC274" s="447">
        <v>0</v>
      </c>
      <c r="AD274" s="447">
        <f t="shared" ref="AD274:AD284" si="75">IF(AND(forceea,physicaldps=0),4000,(physicaldps*armorpostEA-physicaldps*armorpreEA))*Q274*W274</f>
        <v>0</v>
      </c>
      <c r="AE274" s="447">
        <v>0</v>
      </c>
      <c r="AF274" s="448">
        <f t="shared" si="71"/>
        <v>4206.9355273836181</v>
      </c>
      <c r="AG274" s="453">
        <f t="shared" si="73"/>
        <v>295.07715991830293</v>
      </c>
      <c r="AH274" s="454">
        <f t="shared" si="70"/>
        <v>-14.25706933247012</v>
      </c>
      <c r="AI274" s="104">
        <v>0</v>
      </c>
      <c r="AJ274" s="455">
        <f t="shared" ref="AJ274:AJ284" si="76">P274-$Q274</f>
        <v>15.74293066752988</v>
      </c>
      <c r="AK274" s="456" t="str">
        <f>IF(instatk="Mut","5-5ea",IF(Sealfate&gt;0,"5-5ea","5ea"))</f>
        <v>5ea</v>
      </c>
      <c r="AL274" t="str">
        <f>IF(AND(OR(allowrupt,NOT(D274)),OR(AND(poison,allowenv),NOT(F274)),$X$2-AG274&lt;50),MAX($AL$55:$AL273)+1,"")</f>
        <v/>
      </c>
      <c r="AQ274" t="b">
        <v>1</v>
      </c>
    </row>
    <row r="275" spans="1:43">
      <c r="B275" s="15" t="s">
        <v>3182</v>
      </c>
      <c r="C275" s="445">
        <v>1</v>
      </c>
      <c r="D275" s="64">
        <v>0</v>
      </c>
      <c r="E275" s="64">
        <v>0</v>
      </c>
      <c r="F275" s="64">
        <v>0</v>
      </c>
      <c r="G275" s="197">
        <v>1</v>
      </c>
      <c r="H275" s="446">
        <f t="shared" si="58"/>
        <v>2</v>
      </c>
      <c r="I275" s="447">
        <f>$N$15+J$15</f>
        <v>4.8000000000000007</v>
      </c>
      <c r="J275" s="447">
        <f t="shared" si="59"/>
        <v>192.78367346938776</v>
      </c>
      <c r="K275" s="447">
        <f>SUMPRODUCT($E$45:$E$47,$N$16:$N$18)+SUMPRODUCT($E$13:$E$15,$J$16:$J$18)</f>
        <v>20</v>
      </c>
      <c r="L275" s="448">
        <f t="shared" si="60"/>
        <v>212.78367346938776</v>
      </c>
      <c r="M275" s="449">
        <f>SUMPRODUCT($C$45:$C$47,$N$16:$N$18)+SUMPRODUCT($C$13:$C$15,$J$16:$J$18)</f>
        <v>6</v>
      </c>
      <c r="N275" s="104">
        <f>SUMPRODUCT($D$13:$D$15,$J$16:$J$18)</f>
        <v>17.399999999999999</v>
      </c>
      <c r="O275" s="104">
        <v>0</v>
      </c>
      <c r="P275" s="104">
        <f t="shared" ref="P275:P284" si="77">SUMPRODUCT($D$45:$D$47,$N$16:$N$18)</f>
        <v>30</v>
      </c>
      <c r="Q275" s="450">
        <f t="shared" si="72"/>
        <v>16.158312420109564</v>
      </c>
      <c r="R275" s="1310">
        <f>(J$15+N$15+1-$J$15)*$O$2+$E$45+25</f>
        <v>241.88163265306122</v>
      </c>
      <c r="S275" s="1310">
        <v>0</v>
      </c>
      <c r="T275" s="1310">
        <f t="shared" ref="T275:T284" si="78">(N$15+1-$J$15)*$O$2+$O$3</f>
        <v>225.81632653061223</v>
      </c>
      <c r="U275" s="451">
        <f t="shared" si="67"/>
        <v>1</v>
      </c>
      <c r="V275" s="451">
        <v>0</v>
      </c>
      <c r="W275" s="451">
        <f t="shared" si="74"/>
        <v>1</v>
      </c>
      <c r="X275" s="452">
        <f t="shared" si="62"/>
        <v>1</v>
      </c>
      <c r="Y275" s="447">
        <f t="shared" si="63"/>
        <v>4589.3842116912201</v>
      </c>
      <c r="Z275" s="447">
        <f t="shared" si="68"/>
        <v>2869.3780204034333</v>
      </c>
      <c r="AA275" s="447">
        <v>0</v>
      </c>
      <c r="AB275" s="447">
        <v>0</v>
      </c>
      <c r="AC275" s="447">
        <v>0</v>
      </c>
      <c r="AD275" s="447">
        <f t="shared" si="75"/>
        <v>0</v>
      </c>
      <c r="AE275" s="447">
        <v>0</v>
      </c>
      <c r="AF275" s="448">
        <f t="shared" si="71"/>
        <v>7458.7622320946539</v>
      </c>
      <c r="AG275" s="453">
        <f t="shared" si="73"/>
        <v>461.60527400200368</v>
      </c>
      <c r="AH275" s="454">
        <f t="shared" si="70"/>
        <v>1.241687579890435</v>
      </c>
      <c r="AI275" s="104">
        <v>0</v>
      </c>
      <c r="AJ275" s="455">
        <f t="shared" si="76"/>
        <v>13.841687579890436</v>
      </c>
      <c r="AK275" s="456" t="str">
        <f>IF(instatk="Mut","5-5ea/1-3s",IF(Sealfate&gt;0,"5-5ea/1-2s","5ea/1s"))</f>
        <v>5ea/1s</v>
      </c>
      <c r="AL275" t="str">
        <f>IF(AND(OR(allowrupt,NOT(D275)),OR(AND(poison,allowenv),NOT(F275)),$X$2-AG275&lt;50),MAX($AL$55:$AL274)+1,"")</f>
        <v/>
      </c>
      <c r="AQ275" t="b">
        <v>1</v>
      </c>
    </row>
    <row r="276" spans="1:43">
      <c r="B276" s="15" t="s">
        <v>3183</v>
      </c>
      <c r="C276" s="445">
        <v>1</v>
      </c>
      <c r="D276" s="64">
        <v>0</v>
      </c>
      <c r="E276" s="64">
        <v>0</v>
      </c>
      <c r="F276" s="64">
        <v>0</v>
      </c>
      <c r="G276" s="197">
        <v>1</v>
      </c>
      <c r="H276" s="446">
        <f t="shared" si="58"/>
        <v>2</v>
      </c>
      <c r="I276" s="447">
        <f>$N$15+K$15</f>
        <v>5.8000000000000007</v>
      </c>
      <c r="J276" s="447">
        <f t="shared" si="59"/>
        <v>232.94693877551023</v>
      </c>
      <c r="K276" s="447">
        <f>SUMPRODUCT($E$45:$E$47,$N$16:$N$18)+SUMPRODUCT($E$14:$E$16,$K$16:$K$18)</f>
        <v>15</v>
      </c>
      <c r="L276" s="448">
        <f t="shared" si="60"/>
        <v>247.94693877551023</v>
      </c>
      <c r="M276" s="449">
        <f>SUMPRODUCT($C$45:$C$47,$N$16:$N$18)+SUMPRODUCT($C$14:$C$16,$K$16:$K$18)</f>
        <v>7</v>
      </c>
      <c r="N276" s="104">
        <f>SUMPRODUCT($D$14:$D$16,$K$16:$K$18)</f>
        <v>21.75</v>
      </c>
      <c r="O276" s="104">
        <v>0</v>
      </c>
      <c r="P276" s="104">
        <f t="shared" si="77"/>
        <v>30</v>
      </c>
      <c r="Q276" s="450">
        <f t="shared" si="72"/>
        <v>18.828531508179157</v>
      </c>
      <c r="R276" s="1310">
        <f>(K$15+N$15+1-$J$15)*$O$2+$E$45+25</f>
        <v>282.04489795918369</v>
      </c>
      <c r="S276" s="1310">
        <v>0</v>
      </c>
      <c r="T276" s="1310">
        <f t="shared" si="78"/>
        <v>225.81632653061223</v>
      </c>
      <c r="U276" s="451">
        <f t="shared" si="67"/>
        <v>1</v>
      </c>
      <c r="V276" s="451">
        <v>0</v>
      </c>
      <c r="W276" s="451">
        <f t="shared" si="74"/>
        <v>1</v>
      </c>
      <c r="X276" s="452">
        <f t="shared" si="62"/>
        <v>1</v>
      </c>
      <c r="Y276" s="447">
        <f t="shared" si="63"/>
        <v>5545.5059224602237</v>
      </c>
      <c r="Z276" s="447">
        <f t="shared" si="68"/>
        <v>3343.5530308725429</v>
      </c>
      <c r="AA276" s="447">
        <v>0</v>
      </c>
      <c r="AB276" s="447">
        <v>0</v>
      </c>
      <c r="AC276" s="447">
        <v>0</v>
      </c>
      <c r="AD276" s="447">
        <f t="shared" si="75"/>
        <v>0</v>
      </c>
      <c r="AE276" s="447">
        <v>0</v>
      </c>
      <c r="AF276" s="448">
        <f t="shared" si="71"/>
        <v>8889.0589533327657</v>
      </c>
      <c r="AG276" s="453">
        <f t="shared" si="73"/>
        <v>472.10580121298034</v>
      </c>
      <c r="AH276" s="454">
        <f t="shared" si="70"/>
        <v>2.9214684918208427</v>
      </c>
      <c r="AI276" s="104">
        <v>0</v>
      </c>
      <c r="AJ276" s="455">
        <f t="shared" si="76"/>
        <v>11.171468491820843</v>
      </c>
      <c r="AK276" s="456" t="str">
        <f>IF(instatk="Mut","5-5ea/2-4s",IF(Sealfate&gt;0,"5-5ea/2-3s","5ea/2s"))</f>
        <v>5ea/2s</v>
      </c>
      <c r="AL276" t="str">
        <f>IF(AND(OR(allowrupt,NOT(D276)),OR(AND(poison,allowenv),NOT(F276)),$X$2-AG276&lt;50),MAX($AL$55:$AL275)+1,"")</f>
        <v/>
      </c>
      <c r="AQ276" t="b">
        <v>1</v>
      </c>
    </row>
    <row r="277" spans="1:43">
      <c r="B277" s="15" t="s">
        <v>3184</v>
      </c>
      <c r="C277" s="445">
        <v>1</v>
      </c>
      <c r="D277" s="64">
        <v>0</v>
      </c>
      <c r="E277" s="64">
        <v>0</v>
      </c>
      <c r="F277" s="64">
        <v>0</v>
      </c>
      <c r="G277" s="197">
        <v>1</v>
      </c>
      <c r="H277" s="446">
        <f t="shared" si="58"/>
        <v>2</v>
      </c>
      <c r="I277" s="447">
        <f>$N$15+L$15</f>
        <v>6.8000000000000007</v>
      </c>
      <c r="J277" s="447">
        <f t="shared" si="59"/>
        <v>273.11020408163267</v>
      </c>
      <c r="K277" s="447">
        <f>SUMPRODUCT($E$45:$E$47,$N$16:$N$18)+SUMPRODUCT($E$15:$E$17,$L$16:$L$18)</f>
        <v>10</v>
      </c>
      <c r="L277" s="448">
        <f t="shared" si="60"/>
        <v>283.11020408163267</v>
      </c>
      <c r="M277" s="449">
        <f>SUMPRODUCT($C$45:$C$47,$N$16:$N$18)+SUMPRODUCT($C$15:$C$17,$L$16:$L$18)</f>
        <v>8</v>
      </c>
      <c r="N277" s="104">
        <f>SUMPRODUCT($D$15:$D$17,$L$16:$L$18)</f>
        <v>26.099999999999998</v>
      </c>
      <c r="O277" s="104">
        <v>0</v>
      </c>
      <c r="P277" s="104">
        <f t="shared" si="77"/>
        <v>30</v>
      </c>
      <c r="Q277" s="450">
        <f t="shared" si="72"/>
        <v>21.498750596248744</v>
      </c>
      <c r="R277" s="1310">
        <f>(L$15+N$15+1-$J$15)*$O$2+$E$45+25</f>
        <v>322.2081632653061</v>
      </c>
      <c r="S277" s="1310">
        <v>0</v>
      </c>
      <c r="T277" s="1310">
        <f t="shared" si="78"/>
        <v>225.81632653061223</v>
      </c>
      <c r="U277" s="451">
        <f t="shared" si="67"/>
        <v>1</v>
      </c>
      <c r="V277" s="451">
        <v>0</v>
      </c>
      <c r="W277" s="451">
        <f t="shared" si="74"/>
        <v>1</v>
      </c>
      <c r="X277" s="452">
        <f t="shared" si="62"/>
        <v>1</v>
      </c>
      <c r="Y277" s="447">
        <f t="shared" si="63"/>
        <v>6501.6276332292282</v>
      </c>
      <c r="Z277" s="447">
        <f t="shared" si="68"/>
        <v>3817.7280413416511</v>
      </c>
      <c r="AA277" s="447">
        <v>0</v>
      </c>
      <c r="AB277" s="447">
        <v>0</v>
      </c>
      <c r="AC277" s="447">
        <v>0</v>
      </c>
      <c r="AD277" s="447">
        <f t="shared" si="75"/>
        <v>0</v>
      </c>
      <c r="AE277" s="447">
        <v>0</v>
      </c>
      <c r="AF277" s="448">
        <f t="shared" si="71"/>
        <v>10319.355674570879</v>
      </c>
      <c r="AG277" s="453">
        <f t="shared" si="73"/>
        <v>479.99792491994742</v>
      </c>
      <c r="AH277" s="454">
        <f t="shared" si="70"/>
        <v>4.6012494037512539</v>
      </c>
      <c r="AI277" s="104">
        <v>0</v>
      </c>
      <c r="AJ277" s="455">
        <f t="shared" si="76"/>
        <v>8.501249403751256</v>
      </c>
      <c r="AK277" s="456" t="str">
        <f>IF(instatk="Mut","5-5ea/3-5s",IF(Sealfate&gt;0,"5-5ea/3-4s","5ea/3s"))</f>
        <v>5ea/3s</v>
      </c>
      <c r="AL277" t="str">
        <f>IF(AND(OR(allowrupt,NOT(D277)),OR(AND(poison,allowenv),NOT(F277)),$X$2-AG277&lt;50),MAX($AL$55:$AL276)+1,"")</f>
        <v/>
      </c>
      <c r="AQ277" t="b">
        <v>1</v>
      </c>
    </row>
    <row r="278" spans="1:43">
      <c r="B278" s="15" t="s">
        <v>3185</v>
      </c>
      <c r="C278" s="445">
        <v>1</v>
      </c>
      <c r="D278" s="64">
        <v>0</v>
      </c>
      <c r="E278" s="64">
        <v>0</v>
      </c>
      <c r="F278" s="64">
        <v>0</v>
      </c>
      <c r="G278" s="197">
        <v>1</v>
      </c>
      <c r="H278" s="446">
        <f t="shared" si="58"/>
        <v>2</v>
      </c>
      <c r="I278" s="447">
        <f>$N$15+M$15</f>
        <v>7.8000000000000007</v>
      </c>
      <c r="J278" s="447">
        <f t="shared" si="59"/>
        <v>313.27346938775514</v>
      </c>
      <c r="K278" s="447">
        <f>SUMPRODUCT($E$45:$E$47,$N$16:$N$18)+SUMPRODUCT($E$16:$E$18,$M$16:$M$18)</f>
        <v>5</v>
      </c>
      <c r="L278" s="448">
        <f t="shared" si="60"/>
        <v>318.27346938775514</v>
      </c>
      <c r="M278" s="449">
        <f>SUMPRODUCT($C$45:$C$47,$N$16:$N$18)+SUMPRODUCT($C$16:$C$18,$M$16:$M$18)</f>
        <v>9</v>
      </c>
      <c r="N278" s="104">
        <f>SUMPRODUCT($D$16:$D$18,$M$16:$M$18)</f>
        <v>30.45</v>
      </c>
      <c r="O278" s="104">
        <v>0</v>
      </c>
      <c r="P278" s="104">
        <f t="shared" si="77"/>
        <v>30</v>
      </c>
      <c r="Q278" s="450">
        <f t="shared" si="72"/>
        <v>24.168969684318338</v>
      </c>
      <c r="R278" s="1310">
        <f>(M$15+N$15+1-$J$15)*$O$2+$E$45+25</f>
        <v>362.37142857142857</v>
      </c>
      <c r="S278" s="1310">
        <v>0</v>
      </c>
      <c r="T278" s="1310">
        <f t="shared" si="78"/>
        <v>225.81632653061223</v>
      </c>
      <c r="U278" s="451">
        <f t="shared" si="67"/>
        <v>1</v>
      </c>
      <c r="V278" s="451">
        <v>0</v>
      </c>
      <c r="W278" s="451">
        <f t="shared" si="74"/>
        <v>1</v>
      </c>
      <c r="X278" s="452">
        <f t="shared" si="62"/>
        <v>1</v>
      </c>
      <c r="Y278" s="447">
        <f t="shared" si="63"/>
        <v>7457.7493439982318</v>
      </c>
      <c r="Z278" s="447">
        <f t="shared" si="68"/>
        <v>4291.9030518107611</v>
      </c>
      <c r="AA278" s="447">
        <v>0</v>
      </c>
      <c r="AB278" s="447">
        <v>0</v>
      </c>
      <c r="AC278" s="447">
        <v>0</v>
      </c>
      <c r="AD278" s="447">
        <f t="shared" si="75"/>
        <v>0</v>
      </c>
      <c r="AE278" s="447">
        <v>0</v>
      </c>
      <c r="AF278" s="448">
        <f t="shared" si="71"/>
        <v>11749.652395808993</v>
      </c>
      <c r="AG278" s="453">
        <f t="shared" si="73"/>
        <v>486.14618451992072</v>
      </c>
      <c r="AH278" s="454">
        <f t="shared" si="70"/>
        <v>6.2810303156816616</v>
      </c>
      <c r="AI278" s="104">
        <v>0</v>
      </c>
      <c r="AJ278" s="455">
        <f t="shared" si="76"/>
        <v>5.8310303156816623</v>
      </c>
      <c r="AK278" s="456" t="str">
        <f>IF(instatk="Mut","5-5ea/4-5s",IF(Sealfate&gt;0,"5-5ea/4-5s","5ea/4s"))</f>
        <v>5ea/4s</v>
      </c>
      <c r="AL278" t="str">
        <f>IF(AND(OR(allowrupt,NOT(D278)),OR(AND(poison,allowenv),NOT(F278)),$X$2-AG278&lt;50),MAX($AL$55:$AL277)+1,"")</f>
        <v/>
      </c>
      <c r="AQ278" t="b">
        <v>1</v>
      </c>
    </row>
    <row r="279" spans="1:43" ht="12.75" customHeight="1">
      <c r="B279" s="15" t="s">
        <v>3186</v>
      </c>
      <c r="C279" s="445">
        <v>1</v>
      </c>
      <c r="D279" s="64">
        <v>0</v>
      </c>
      <c r="E279" s="64">
        <v>0</v>
      </c>
      <c r="F279" s="64">
        <v>0</v>
      </c>
      <c r="G279" s="197">
        <v>1</v>
      </c>
      <c r="H279" s="446">
        <f t="shared" si="58"/>
        <v>2</v>
      </c>
      <c r="I279" s="447">
        <f>$N$15+N$15</f>
        <v>8.8000000000000007</v>
      </c>
      <c r="J279" s="447">
        <f t="shared" si="59"/>
        <v>353.43673469387755</v>
      </c>
      <c r="K279" s="447">
        <f>SUMPRODUCT($E$45:$E$47,$N$16:$N$18)+SUMPRODUCT($E$17:$E$19,$N$16:$N$18)</f>
        <v>0</v>
      </c>
      <c r="L279" s="448">
        <f t="shared" si="60"/>
        <v>353.43673469387755</v>
      </c>
      <c r="M279" s="449">
        <f>SUMPRODUCT($C$45:$C$47,$N$16:$N$18)+SUMPRODUCT($C$17:$C$19,$N$16:$N$18)</f>
        <v>10</v>
      </c>
      <c r="N279" s="104">
        <f>SUMPRODUCT($D$17:$D$19,$N$16:$N$18)</f>
        <v>34.799999999999997</v>
      </c>
      <c r="O279" s="104">
        <v>0</v>
      </c>
      <c r="P279" s="104">
        <f t="shared" si="77"/>
        <v>30</v>
      </c>
      <c r="Q279" s="450">
        <f t="shared" si="72"/>
        <v>26.839188772387924</v>
      </c>
      <c r="R279" s="1310">
        <f>(N$15+N$15+1-$J$15)*$O$2+$E$45+25</f>
        <v>402.53469387755104</v>
      </c>
      <c r="S279" s="1310">
        <v>0</v>
      </c>
      <c r="T279" s="1310">
        <f t="shared" si="78"/>
        <v>225.81632653061223</v>
      </c>
      <c r="U279" s="451">
        <f t="shared" si="67"/>
        <v>1</v>
      </c>
      <c r="V279" s="451">
        <v>0</v>
      </c>
      <c r="W279" s="451">
        <f t="shared" si="74"/>
        <v>1</v>
      </c>
      <c r="X279" s="452">
        <f t="shared" si="62"/>
        <v>1</v>
      </c>
      <c r="Y279" s="447">
        <f t="shared" si="63"/>
        <v>8413.8710547672363</v>
      </c>
      <c r="Z279" s="447">
        <f t="shared" si="68"/>
        <v>4766.0780622798693</v>
      </c>
      <c r="AA279" s="447">
        <v>0</v>
      </c>
      <c r="AB279" s="447">
        <v>0</v>
      </c>
      <c r="AC279" s="447">
        <v>0</v>
      </c>
      <c r="AD279" s="447">
        <f t="shared" si="75"/>
        <v>0</v>
      </c>
      <c r="AE279" s="447">
        <v>0</v>
      </c>
      <c r="AF279" s="448">
        <f t="shared" si="71"/>
        <v>13179.949117047105</v>
      </c>
      <c r="AG279" s="453">
        <f t="shared" si="73"/>
        <v>491.07106883225163</v>
      </c>
      <c r="AH279" s="454">
        <f t="shared" si="70"/>
        <v>7.9608112276120728</v>
      </c>
      <c r="AI279" s="104">
        <v>0</v>
      </c>
      <c r="AJ279" s="455">
        <f t="shared" si="76"/>
        <v>3.1608112276120757</v>
      </c>
      <c r="AK279" s="456" t="str">
        <f>IF(instatk="Mut","5-5ea/5-5s",IF(Sealfate&gt;0,"5-5ea/5-5s","5ea/5s"))</f>
        <v>5ea/5s</v>
      </c>
      <c r="AL279" t="str">
        <f>IF(AND(OR(allowrupt,NOT(D279)),OR(AND(poison,allowenv),NOT(F279)),$X$2-AG279&lt;50),MAX($AL$55:$AL278)+1,"")</f>
        <v/>
      </c>
      <c r="AQ279" t="b">
        <v>1</v>
      </c>
    </row>
    <row r="280" spans="1:43" ht="12.75" customHeight="1">
      <c r="B280" s="15" t="s">
        <v>3187</v>
      </c>
      <c r="C280" s="445">
        <v>2</v>
      </c>
      <c r="D280" s="64">
        <v>0</v>
      </c>
      <c r="E280" s="64">
        <v>0</v>
      </c>
      <c r="F280" s="64">
        <v>0</v>
      </c>
      <c r="G280" s="197">
        <v>1</v>
      </c>
      <c r="H280" s="446">
        <f t="shared" si="58"/>
        <v>3</v>
      </c>
      <c r="I280" s="447">
        <f>$N$15+J$15+M$15</f>
        <v>8.2000000000000011</v>
      </c>
      <c r="J280" s="447">
        <f t="shared" si="59"/>
        <v>329.33877551020413</v>
      </c>
      <c r="K280" s="447">
        <f>SUMPRODUCT($E$45:$E$47,$N$16:$N$18)+SUMPRODUCT($E$13:$E$15,$J$16:$J$18)+SUMPRODUCT($E$16:$E$18,$M$16:$M$18)</f>
        <v>25</v>
      </c>
      <c r="L280" s="448">
        <f t="shared" si="60"/>
        <v>354.33877551020413</v>
      </c>
      <c r="M280" s="449">
        <f>SUMPRODUCT($C$45:$C$47,$N$16:$N$18)+SUMPRODUCT($C$13:$C$15,$J$16:$J$18)+SUMPRODUCT($C$16:$C$18,$M$16:$M$18)</f>
        <v>10</v>
      </c>
      <c r="N280" s="104">
        <f>SUMPRODUCT($D$13:$D$15,$J$16:$J$18)+SUMPRODUCT($D$16:$D$18,$M$16:$M$18)</f>
        <v>47.849999999999994</v>
      </c>
      <c r="O280" s="104">
        <v>0</v>
      </c>
      <c r="P280" s="104">
        <f t="shared" si="77"/>
        <v>30</v>
      </c>
      <c r="Q280" s="450">
        <f t="shared" si="72"/>
        <v>26.907687718233937</v>
      </c>
      <c r="R280" s="1310">
        <f>(J$15+N$15+1-$J$15)*$O$2+$E$45+25</f>
        <v>241.88163265306122</v>
      </c>
      <c r="S280" s="1310">
        <v>0</v>
      </c>
      <c r="T280" s="1310">
        <f t="shared" si="78"/>
        <v>225.81632653061223</v>
      </c>
      <c r="U280" s="451">
        <f t="shared" si="67"/>
        <v>1</v>
      </c>
      <c r="V280" s="451">
        <v>0</v>
      </c>
      <c r="W280" s="451">
        <f t="shared" si="74"/>
        <v>1</v>
      </c>
      <c r="X280" s="452">
        <f t="shared" si="62"/>
        <v>1</v>
      </c>
      <c r="Y280" s="447">
        <f t="shared" si="63"/>
        <v>7840.1980283058338</v>
      </c>
      <c r="Z280" s="447">
        <f t="shared" si="68"/>
        <v>4778.2420410742598</v>
      </c>
      <c r="AA280" s="447">
        <v>0</v>
      </c>
      <c r="AB280" s="447">
        <v>0</v>
      </c>
      <c r="AC280" s="447">
        <v>0</v>
      </c>
      <c r="AD280" s="447">
        <f t="shared" si="75"/>
        <v>0</v>
      </c>
      <c r="AE280" s="447">
        <v>0</v>
      </c>
      <c r="AF280" s="448">
        <f t="shared" si="71"/>
        <v>12618.440069380093</v>
      </c>
      <c r="AG280" s="453">
        <f t="shared" si="73"/>
        <v>468.9529699287105</v>
      </c>
      <c r="AH280" s="454">
        <f t="shared" si="70"/>
        <v>20.942312281766057</v>
      </c>
      <c r="AI280" s="104">
        <v>0</v>
      </c>
      <c r="AJ280" s="455">
        <f t="shared" si="76"/>
        <v>3.0923122817660627</v>
      </c>
      <c r="AK280" s="456" t="str">
        <f>IF(instatk="Mut","5-5ea/1-3s/4s-5s",IF(Sealfate&gt;0,"5-5ea/1-2s/4s-5s","5ea/1s/4s"))</f>
        <v>5ea/1s/4s</v>
      </c>
      <c r="AL280" t="str">
        <f>IF(AND(OR(allowrupt,NOT(D280)),OR(AND(poison,allowenv),NOT(F280)),$X$2-AG280&lt;50),MAX($AL$55:$AL279)+1,"")</f>
        <v/>
      </c>
      <c r="AQ280" t="b">
        <v>1</v>
      </c>
    </row>
    <row r="281" spans="1:43" ht="12.75" customHeight="1">
      <c r="B281" s="15" t="s">
        <v>3188</v>
      </c>
      <c r="C281" s="445">
        <v>2</v>
      </c>
      <c r="D281" s="64">
        <v>0</v>
      </c>
      <c r="E281" s="64">
        <v>0</v>
      </c>
      <c r="F281" s="64">
        <v>0</v>
      </c>
      <c r="G281" s="197">
        <v>1</v>
      </c>
      <c r="H281" s="446">
        <f t="shared" si="58"/>
        <v>3</v>
      </c>
      <c r="I281" s="447">
        <f>$N$15+K$15+M$15</f>
        <v>9.2000000000000011</v>
      </c>
      <c r="J281" s="447">
        <f t="shared" si="59"/>
        <v>369.50204081632654</v>
      </c>
      <c r="K281" s="447">
        <f>SUMPRODUCT($E$45:$E$47,$N$16:$N$18)+SUMPRODUCT($E$14:$E$16,$K$16:$K$18)+SUMPRODUCT($E$16:$E$18,$M$16:$M$18)</f>
        <v>20</v>
      </c>
      <c r="L281" s="448">
        <f t="shared" si="60"/>
        <v>389.50204081632654</v>
      </c>
      <c r="M281" s="449">
        <f>SUMPRODUCT($C$45:$C$47,$N$16:$N$18)+SUMPRODUCT($C$14:$C$16,$K$16:$K$18)+SUMPRODUCT($C$16:$C$18,$M$16:$M$18)</f>
        <v>11</v>
      </c>
      <c r="N281" s="104">
        <f>SUMPRODUCT($D$14:$D$16,$K$16:$K$18)+SUMPRODUCT($D$16:$D$18,$M$16:$M$18)</f>
        <v>52.2</v>
      </c>
      <c r="O281" s="104">
        <v>0</v>
      </c>
      <c r="P281" s="104">
        <f t="shared" si="77"/>
        <v>30</v>
      </c>
      <c r="Q281" s="450">
        <f t="shared" si="72"/>
        <v>29.577906806303528</v>
      </c>
      <c r="R281" s="1310">
        <f>(K$15+N$15+1-$J$15)*$O$2+$E$45+25</f>
        <v>282.04489795918369</v>
      </c>
      <c r="S281" s="1310">
        <v>0</v>
      </c>
      <c r="T281" s="1310">
        <f t="shared" si="78"/>
        <v>225.81632653061223</v>
      </c>
      <c r="U281" s="451">
        <f t="shared" si="67"/>
        <v>1</v>
      </c>
      <c r="V281" s="451">
        <v>0</v>
      </c>
      <c r="W281" s="451">
        <f t="shared" si="74"/>
        <v>1</v>
      </c>
      <c r="X281" s="452">
        <f t="shared" si="62"/>
        <v>1</v>
      </c>
      <c r="Y281" s="447">
        <f t="shared" si="63"/>
        <v>8796.3197390748373</v>
      </c>
      <c r="Z281" s="447">
        <f t="shared" si="68"/>
        <v>5252.417051543368</v>
      </c>
      <c r="AA281" s="447">
        <v>0</v>
      </c>
      <c r="AB281" s="447">
        <v>0</v>
      </c>
      <c r="AC281" s="447">
        <v>0</v>
      </c>
      <c r="AD281" s="447">
        <f t="shared" si="75"/>
        <v>0</v>
      </c>
      <c r="AE281" s="447">
        <v>0</v>
      </c>
      <c r="AF281" s="448">
        <f t="shared" si="71"/>
        <v>14048.736790618204</v>
      </c>
      <c r="AG281" s="453">
        <f t="shared" si="73"/>
        <v>474.97400281294392</v>
      </c>
      <c r="AH281" s="454">
        <f t="shared" si="70"/>
        <v>22.622093193696475</v>
      </c>
      <c r="AI281" s="104">
        <v>0</v>
      </c>
      <c r="AJ281" s="455">
        <f t="shared" si="76"/>
        <v>0.42209319369647247</v>
      </c>
      <c r="AK281" s="456" t="str">
        <f>IF(instatk="Mut","5-5ea/2-4s/4s-5s",IF(Sealfate&gt;0,"5-5ea/2-3s/4s-5s","5ea/2s/4s"))</f>
        <v>5ea/2s/4s</v>
      </c>
      <c r="AL281" t="str">
        <f>IF(AND(OR(allowrupt,NOT(D281)),OR(AND(poison,allowenv),NOT(F281)),$X$2-AG281&lt;50),MAX($AL$55:$AL280)+1,"")</f>
        <v/>
      </c>
      <c r="AQ281" t="b">
        <v>1</v>
      </c>
    </row>
    <row r="282" spans="1:43" ht="12.75" customHeight="1">
      <c r="B282" s="15" t="s">
        <v>3189</v>
      </c>
      <c r="C282" s="445">
        <v>2</v>
      </c>
      <c r="D282" s="64">
        <v>0</v>
      </c>
      <c r="E282" s="64">
        <v>0</v>
      </c>
      <c r="F282" s="64">
        <v>0</v>
      </c>
      <c r="G282" s="197">
        <v>1</v>
      </c>
      <c r="H282" s="446">
        <f t="shared" si="58"/>
        <v>3</v>
      </c>
      <c r="I282" s="447">
        <f>$N$15+J$15+N$15</f>
        <v>9.2000000000000011</v>
      </c>
      <c r="J282" s="447">
        <f t="shared" si="59"/>
        <v>369.50204081632654</v>
      </c>
      <c r="K282" s="447">
        <f>SUMPRODUCT($E$45:$E$47,$N$16:$N$18)+SUMPRODUCT($E$13:$E$15,$J$16:$J$18)+SUMPRODUCT($E$17:$E$19,$N$16:$N$18)</f>
        <v>20</v>
      </c>
      <c r="L282" s="448">
        <f t="shared" si="60"/>
        <v>389.50204081632654</v>
      </c>
      <c r="M282" s="449">
        <f>SUMPRODUCT($C$45:$C$47,$N$16:$N$18)+SUMPRODUCT($C$13:$C$15,$J$16:$J$18)+SUMPRODUCT($C$17:$C$19,$N$16:$N$18)</f>
        <v>11</v>
      </c>
      <c r="N282" s="104">
        <f>SUMPRODUCT($D$13:$D$15,$J$16:$J$18)+SUMPRODUCT($D$17:$D$19,$N$16:$N$18)</f>
        <v>52.199999999999996</v>
      </c>
      <c r="O282" s="104">
        <v>0</v>
      </c>
      <c r="P282" s="104">
        <f t="shared" si="77"/>
        <v>30</v>
      </c>
      <c r="Q282" s="450">
        <f t="shared" si="72"/>
        <v>29.577906806303528</v>
      </c>
      <c r="R282" s="1310">
        <f>(J$15+N$15+1-$J$15)*$O$2+$E$45+25</f>
        <v>241.88163265306122</v>
      </c>
      <c r="S282" s="1310">
        <v>0</v>
      </c>
      <c r="T282" s="1310">
        <f t="shared" si="78"/>
        <v>225.81632653061223</v>
      </c>
      <c r="U282" s="451">
        <f t="shared" si="67"/>
        <v>1</v>
      </c>
      <c r="V282" s="451">
        <v>0</v>
      </c>
      <c r="W282" s="451">
        <f t="shared" si="74"/>
        <v>1</v>
      </c>
      <c r="X282" s="452">
        <f t="shared" si="62"/>
        <v>1</v>
      </c>
      <c r="Y282" s="447">
        <f t="shared" si="63"/>
        <v>8796.3197390748373</v>
      </c>
      <c r="Z282" s="447">
        <f t="shared" si="68"/>
        <v>5252.417051543368</v>
      </c>
      <c r="AA282" s="447">
        <v>0</v>
      </c>
      <c r="AB282" s="447">
        <v>0</v>
      </c>
      <c r="AC282" s="447">
        <v>0</v>
      </c>
      <c r="AD282" s="447">
        <f t="shared" si="75"/>
        <v>0</v>
      </c>
      <c r="AE282" s="447">
        <v>0</v>
      </c>
      <c r="AF282" s="448">
        <f t="shared" si="71"/>
        <v>14048.736790618204</v>
      </c>
      <c r="AG282" s="453">
        <f t="shared" si="73"/>
        <v>474.97400281294392</v>
      </c>
      <c r="AH282" s="454">
        <f t="shared" si="70"/>
        <v>22.622093193696468</v>
      </c>
      <c r="AI282" s="104">
        <v>0</v>
      </c>
      <c r="AJ282" s="455">
        <f t="shared" si="76"/>
        <v>0.42209319369647247</v>
      </c>
      <c r="AK282" s="456" t="str">
        <f>IF(instatk="Mut","5-5ea/1-3s/5s-5s",IF(Sealfate&gt;0,"5-5ea/1-2s/5s-5s","5ea/1s/5s"))</f>
        <v>5ea/1s/5s</v>
      </c>
      <c r="AL282" t="str">
        <f>IF(AND(OR(allowrupt,NOT(D282)),OR(AND(poison,allowenv),NOT(F282)),$X$2-AG282&lt;50),MAX($AL$55:$AL281)+1,"")</f>
        <v/>
      </c>
      <c r="AQ282" t="b">
        <v>1</v>
      </c>
    </row>
    <row r="283" spans="1:43" ht="12.75" customHeight="1">
      <c r="B283" s="15" t="s">
        <v>3190</v>
      </c>
      <c r="C283" s="445">
        <v>2</v>
      </c>
      <c r="D283" s="64">
        <v>0</v>
      </c>
      <c r="E283" s="64">
        <v>0</v>
      </c>
      <c r="F283" s="64">
        <v>0</v>
      </c>
      <c r="G283" s="197">
        <v>1</v>
      </c>
      <c r="H283" s="446">
        <f t="shared" si="58"/>
        <v>3</v>
      </c>
      <c r="I283" s="447">
        <f>$N$15+K$15+N$15</f>
        <v>10.200000000000001</v>
      </c>
      <c r="J283" s="447">
        <f t="shared" si="59"/>
        <v>409.66530612244901</v>
      </c>
      <c r="K283" s="447">
        <f>SUMPRODUCT($E$45:$E$47,$N$16:$N$18)+SUMPRODUCT($E$14:$E$16,$K$16:$K$18)+SUMPRODUCT($E$17:$E$19,$N$16:$N$18)</f>
        <v>15</v>
      </c>
      <c r="L283" s="448">
        <f t="shared" si="60"/>
        <v>424.66530612244901</v>
      </c>
      <c r="M283" s="449">
        <f>SUMPRODUCT($C$45:$C$47,$N$16:$N$18)+SUMPRODUCT($C$14:$C$16,$K$16:$K$18)+SUMPRODUCT($C$17:$C$19,$N$16:$N$18)</f>
        <v>12</v>
      </c>
      <c r="N283" s="104">
        <f>SUMPRODUCT($D$14:$D$16,$K$16:$K$18)+SUMPRODUCT($D$17:$D$19,$N$16:$N$18)</f>
        <v>56.55</v>
      </c>
      <c r="O283" s="104">
        <v>0</v>
      </c>
      <c r="P283" s="104">
        <f t="shared" si="77"/>
        <v>30</v>
      </c>
      <c r="Q283" s="450">
        <f t="shared" si="72"/>
        <v>32.248125894373118</v>
      </c>
      <c r="R283" s="1310">
        <f>(K$15+N$15+1-$J$15)*$O$2+$E$45+25</f>
        <v>282.04489795918369</v>
      </c>
      <c r="S283" s="1310">
        <v>0</v>
      </c>
      <c r="T283" s="1310">
        <f t="shared" si="78"/>
        <v>225.81632653061223</v>
      </c>
      <c r="U283" s="451">
        <f t="shared" si="67"/>
        <v>1</v>
      </c>
      <c r="V283" s="451">
        <v>0</v>
      </c>
      <c r="W283" s="451">
        <f t="shared" si="74"/>
        <v>0.93028661877168539</v>
      </c>
      <c r="X283" s="452">
        <f t="shared" si="62"/>
        <v>1</v>
      </c>
      <c r="Y283" s="447">
        <f t="shared" si="63"/>
        <v>9752.4414498438418</v>
      </c>
      <c r="Z283" s="447">
        <f t="shared" si="68"/>
        <v>5726.5920620124771</v>
      </c>
      <c r="AA283" s="447">
        <v>0</v>
      </c>
      <c r="AB283" s="447">
        <v>0</v>
      </c>
      <c r="AC283" s="447">
        <v>0</v>
      </c>
      <c r="AD283" s="447">
        <f t="shared" si="75"/>
        <v>0</v>
      </c>
      <c r="AE283" s="447">
        <v>0</v>
      </c>
      <c r="AF283" s="448">
        <f t="shared" si="71"/>
        <v>15479.03351185632</v>
      </c>
      <c r="AG283" s="453">
        <f t="shared" si="73"/>
        <v>479.99792491994742</v>
      </c>
      <c r="AH283" s="454">
        <f t="shared" si="70"/>
        <v>24.301874105626879</v>
      </c>
      <c r="AI283" s="104">
        <v>0</v>
      </c>
      <c r="AJ283" s="455">
        <f t="shared" si="76"/>
        <v>-2.2481258943731177</v>
      </c>
      <c r="AK283" s="456" t="str">
        <f>IF(instatk="Mut","5-5ea/2-4s/5s-5s",IF(Sealfate&gt;0,"5-5ea/2-3s/5s-5s","5ea/2s/5s"))</f>
        <v>5ea/2s/5s</v>
      </c>
      <c r="AL283" t="str">
        <f>IF(AND(OR(allowrupt,NOT(D283)),OR(AND(poison,allowenv),NOT(F283)),$X$2-AG283&lt;50),MAX($AL$55:$AL282)+1,"")</f>
        <v/>
      </c>
      <c r="AQ283" t="b">
        <v>1</v>
      </c>
    </row>
    <row r="284" spans="1:43" ht="12.75" customHeight="1">
      <c r="B284" s="15" t="s">
        <v>3191</v>
      </c>
      <c r="C284" s="445">
        <v>2</v>
      </c>
      <c r="D284" s="64">
        <v>0</v>
      </c>
      <c r="E284" s="64">
        <v>0</v>
      </c>
      <c r="F284" s="64">
        <v>0</v>
      </c>
      <c r="G284" s="197">
        <v>1</v>
      </c>
      <c r="H284" s="446">
        <f t="shared" si="58"/>
        <v>3</v>
      </c>
      <c r="I284" s="447">
        <f>$N$15+L$15+N$15</f>
        <v>11.200000000000001</v>
      </c>
      <c r="J284" s="447">
        <f t="shared" si="59"/>
        <v>449.82857142857148</v>
      </c>
      <c r="K284" s="447">
        <f>SUMPRODUCT($E$45:$E$47,$N$16:$N$18)+SUMPRODUCT($E$15:$E$17,$L$16:$L$18)+SUMPRODUCT($E$17:$E$19,$N$16:$N$18)</f>
        <v>10</v>
      </c>
      <c r="L284" s="448">
        <f t="shared" si="60"/>
        <v>459.82857142857148</v>
      </c>
      <c r="M284" s="449">
        <f>SUMPRODUCT($C$45:$C$47,$N$16:$N$18)+SUMPRODUCT($C$15:$C$17,$L$16:$L$18)+SUMPRODUCT($C$17:$C$19,$N$16:$N$18)</f>
        <v>13</v>
      </c>
      <c r="N284" s="104">
        <f>SUMPRODUCT($D$15:$D$17,$L$16:$L$18)+SUMPRODUCT($D$17:$D$19,$N$16:$N$18)</f>
        <v>60.899999999999991</v>
      </c>
      <c r="O284" s="104">
        <v>0</v>
      </c>
      <c r="P284" s="104">
        <f t="shared" si="77"/>
        <v>30</v>
      </c>
      <c r="Q284" s="450">
        <f t="shared" si="72"/>
        <v>34.918344982442711</v>
      </c>
      <c r="R284" s="1310">
        <f>(L$15+N$15+1-$J$15)*$O$2+$E$45+25</f>
        <v>322.2081632653061</v>
      </c>
      <c r="S284" s="1310">
        <v>0</v>
      </c>
      <c r="T284" s="1310">
        <f t="shared" si="78"/>
        <v>225.81632653061223</v>
      </c>
      <c r="U284" s="451">
        <f t="shared" si="67"/>
        <v>1</v>
      </c>
      <c r="V284" s="451">
        <v>0</v>
      </c>
      <c r="W284" s="451">
        <f t="shared" si="74"/>
        <v>0.85914724810366283</v>
      </c>
      <c r="X284" s="452">
        <f t="shared" si="62"/>
        <v>1</v>
      </c>
      <c r="Y284" s="447">
        <f t="shared" si="63"/>
        <v>10708.563160612846</v>
      </c>
      <c r="Z284" s="447">
        <f t="shared" si="68"/>
        <v>6200.7670724815862</v>
      </c>
      <c r="AA284" s="447">
        <v>0</v>
      </c>
      <c r="AB284" s="447">
        <v>0</v>
      </c>
      <c r="AC284" s="447">
        <v>0</v>
      </c>
      <c r="AD284" s="447">
        <f t="shared" si="75"/>
        <v>0</v>
      </c>
      <c r="AE284" s="447">
        <v>0</v>
      </c>
      <c r="AF284" s="448">
        <f t="shared" si="71"/>
        <v>16909.330233094432</v>
      </c>
      <c r="AG284" s="453">
        <f t="shared" si="73"/>
        <v>484.25348456797167</v>
      </c>
      <c r="AH284" s="454">
        <f t="shared" si="70"/>
        <v>25.98165501755728</v>
      </c>
      <c r="AI284" s="104">
        <v>0</v>
      </c>
      <c r="AJ284" s="455">
        <f t="shared" si="76"/>
        <v>-4.9183449824427115</v>
      </c>
      <c r="AK284" s="456" t="str">
        <f>IF(instatk="Mut","5-5ea/3-5s/5s-5s",IF(Sealfate&gt;0,"5-5ea/3-4s/5s-5s","5ea/3s/5s"))</f>
        <v>5ea/3s/5s</v>
      </c>
      <c r="AL284" t="str">
        <f>IF(AND(OR(allowrupt,NOT(D284)),OR(AND(poison,allowenv),NOT(F284)),$X$2-AG284&lt;50),MAX($AL$55:$AL283)+1,"")</f>
        <v/>
      </c>
      <c r="AQ284" t="b">
        <v>1</v>
      </c>
    </row>
    <row r="285" spans="1:43">
      <c r="A285" s="901"/>
      <c r="B285" s="901"/>
      <c r="C285" s="901"/>
      <c r="D285" s="901"/>
      <c r="E285" s="901"/>
      <c r="F285" s="901"/>
      <c r="G285" s="901"/>
      <c r="H285" s="901"/>
      <c r="I285" s="901"/>
      <c r="J285" s="901"/>
      <c r="K285" s="901"/>
      <c r="L285" s="901"/>
      <c r="M285" s="901"/>
      <c r="N285" s="901"/>
      <c r="O285" s="901"/>
      <c r="P285" s="901"/>
      <c r="Q285" s="1374"/>
      <c r="R285" s="1375"/>
      <c r="S285" s="901"/>
      <c r="T285" s="901"/>
      <c r="U285" s="901"/>
      <c r="V285" s="901"/>
      <c r="W285" s="901"/>
      <c r="X285" s="901"/>
      <c r="Y285" s="901"/>
      <c r="Z285" s="901"/>
      <c r="AA285" s="901"/>
      <c r="AB285" s="901"/>
      <c r="AC285" s="901"/>
      <c r="AD285" s="901"/>
      <c r="AE285" s="901"/>
      <c r="AF285" s="901"/>
      <c r="AG285" s="901"/>
      <c r="AH285" s="901"/>
      <c r="AI285" s="901"/>
      <c r="AJ285" s="901"/>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3" t="s">
        <v>1666</v>
      </c>
      <c r="B1" s="1153" t="s">
        <v>1660</v>
      </c>
      <c r="C1" s="1153" t="s">
        <v>3037</v>
      </c>
      <c r="D1" s="1153"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7" t="s">
        <v>1661</v>
      </c>
      <c r="B1" s="588" t="s">
        <v>878</v>
      </c>
      <c r="C1" s="588" t="s">
        <v>532</v>
      </c>
      <c r="D1" s="588" t="s">
        <v>533</v>
      </c>
      <c r="E1" s="588" t="s">
        <v>534</v>
      </c>
      <c r="F1" s="589" t="s">
        <v>2328</v>
      </c>
      <c r="G1" s="1372" t="s">
        <v>3150</v>
      </c>
    </row>
    <row r="2" spans="1:7">
      <c r="A2" s="6" t="s">
        <v>1938</v>
      </c>
      <c r="B2" s="372">
        <v>0.29170504818160159</v>
      </c>
      <c r="C2" s="372">
        <v>0.30745805848710167</v>
      </c>
      <c r="D2" s="372">
        <f>10/(20+1/('Damage Calc'!I80*'Damage Calc'!L80))</f>
        <v>0.30745805848710167</v>
      </c>
      <c r="E2" s="120">
        <f>IF(OR(trinket1="Dragonspine Trophy",trinket2="Dragonspine Trophy"),325*(D2-itDSTup)*dpsHaste,0)</f>
        <v>0</v>
      </c>
      <c r="F2" s="6" t="s">
        <v>2307</v>
      </c>
      <c r="G2" s="505" t="s">
        <v>3151</v>
      </c>
    </row>
    <row r="3" spans="1:7">
      <c r="A3" s="6" t="s">
        <v>133</v>
      </c>
      <c r="B3" s="372">
        <v>0.51822366498619798</v>
      </c>
      <c r="C3" s="372">
        <v>0.55805079604046193</v>
      </c>
      <c r="D3" s="372">
        <f>1-(1-'Damage Calc'!L47)^(10*'Damage Calc'!I47)-IF(time=0,0,(1-'Damage Calc'!L47)^(10*'Damage Calc'!I47)*0.5*10/time)</f>
        <v>0.55805079604046193</v>
      </c>
      <c r="E3" s="120">
        <f>IF(OR(trinket1="Madness of the Betrayer",trinket2="Madness of the Betrayer"),300*(D3-itMotBup)*dpsArmor,0)</f>
        <v>0</v>
      </c>
      <c r="F3" s="6" t="s">
        <v>2308</v>
      </c>
      <c r="G3" s="505" t="s">
        <v>3149</v>
      </c>
    </row>
    <row r="4" spans="1:7">
      <c r="A4" s="6" t="s">
        <v>991</v>
      </c>
      <c r="B4" s="372">
        <v>0.40234326580194024</v>
      </c>
      <c r="C4" s="372">
        <v>0.40461321853618898</v>
      </c>
      <c r="D4" s="372">
        <f>20/(45+1/('Damage Calc'!K47*10%))</f>
        <v>0.40461321853618898</v>
      </c>
      <c r="E4" s="120">
        <f>IF(OR(trinket1="Shard of Contempt",trinket2="Shard of Contempt"),230*(D4-itSoCup)*dpsAP,0)</f>
        <v>0</v>
      </c>
      <c r="F4" s="6" t="s">
        <v>2309</v>
      </c>
      <c r="G4" s="505"/>
    </row>
    <row r="5" spans="1:7">
      <c r="A5" s="6" t="s">
        <v>142</v>
      </c>
      <c r="B5" s="372">
        <v>0.16552127638323519</v>
      </c>
      <c r="C5" s="372">
        <v>0.15754232759811618</v>
      </c>
      <c r="D5" s="372">
        <f>10/(45+1/('Damage Calc'!K58*10%))</f>
        <v>0.15754232759811618</v>
      </c>
      <c r="E5" s="120">
        <f>IF(OR(trinket1="Tsunami Talisman",trinket2="Tsunami Talisman"),340*(D5-itTTup)*dpsAP,0)</f>
        <v>0</v>
      </c>
      <c r="F5" s="6" t="s">
        <v>2311</v>
      </c>
      <c r="G5" s="505" t="s">
        <v>76</v>
      </c>
    </row>
    <row r="6" spans="1:7">
      <c r="A6" s="6" t="s">
        <v>249</v>
      </c>
      <c r="B6" s="372">
        <v>0.36728593906401125</v>
      </c>
      <c r="C6" s="372">
        <v>0.36836514501652162</v>
      </c>
      <c r="D6" s="372">
        <f>15/(30+1/(('Damage Calc'!Q17+'Damage Calc'!Q18)*25%))</f>
        <v>0.36836514501652162</v>
      </c>
      <c r="E6" s="120">
        <f>IF(OR(trinket1="Warp-Spring Coil",trinket2="Warp-Spring Coil"),1000*(D6-itWSCup)*dpsArmor,0)</f>
        <v>0</v>
      </c>
      <c r="F6" s="6" t="s">
        <v>2312</v>
      </c>
      <c r="G6" s="505" t="s">
        <v>3154</v>
      </c>
    </row>
    <row r="7" spans="1:7">
      <c r="A7" s="6" t="s">
        <v>250</v>
      </c>
      <c r="B7" s="372">
        <v>0.52329256506102406</v>
      </c>
      <c r="C7" s="372">
        <v>0.56461622930697231</v>
      </c>
      <c r="D7" s="372">
        <f>1-(1-'Damage Calc'!L48)^(15*'Damage Calc'!I48)-IF(time=0,0,(1-'Damage Calc'!L48)^(15*'Damage Calc'!I48)*0.5*15/time)</f>
        <v>0.56461622930697231</v>
      </c>
      <c r="E7" s="120">
        <f>IF('Gear &amp; Buffs'!B11="Mongoose",120*(D7-enMnMHup)*dpsAgi+2*hasterate*(D7-enMnMHup)*dpsHaste,0)</f>
        <v>0</v>
      </c>
      <c r="F7" s="6" t="s">
        <v>2308</v>
      </c>
      <c r="G7" s="505" t="s">
        <v>3152</v>
      </c>
    </row>
    <row r="8" spans="1:7">
      <c r="A8" s="6" t="s">
        <v>251</v>
      </c>
      <c r="B8" s="372">
        <v>0.29969713673447618</v>
      </c>
      <c r="C8" s="372">
        <v>0.30968688863786553</v>
      </c>
      <c r="D8" s="372">
        <f>1-(1-'Damage Calc'!L49)^(15*'Damage Calc'!I49)-IF(time=0,0,(1-'Damage Calc'!L49)^(15*'Damage Calc'!I49)*0.5*15/time)</f>
        <v>0.30968688863786553</v>
      </c>
      <c r="E8" s="120">
        <f>IF('Gear &amp; Buffs'!B17="Mongoose",120*(D8-enMnOHup)*dpsAgi+2*hasterate*(D8-enMnOHup)*dpsHaste,0)</f>
        <v>0</v>
      </c>
      <c r="F8" s="6" t="s">
        <v>2308</v>
      </c>
      <c r="G8" s="505" t="s">
        <v>3153</v>
      </c>
    </row>
    <row r="9" spans="1:7">
      <c r="A9" s="6" t="s">
        <v>1928</v>
      </c>
      <c r="B9" s="372">
        <v>0.52329256506102406</v>
      </c>
      <c r="C9" s="372">
        <v>0.56461622930697231</v>
      </c>
      <c r="D9" s="372">
        <f>1-(1-'Damage Calc'!L48)^(15*'Damage Calc'!I48)-IF(time=0,0,(1-'Damage Calc'!L48)^(15*'Damage Calc'!I48)*0.5*15/time)</f>
        <v>0.56461622930697231</v>
      </c>
      <c r="E9" s="120">
        <f>IF(AND('Gear &amp; Buffs'!B11="Executioner",NOT('Gear &amp; Buffs'!B17="Executioner")),840*(D9-enExMHup)*dpsArmor,0)</f>
        <v>0</v>
      </c>
      <c r="F9" s="6" t="s">
        <v>2308</v>
      </c>
      <c r="G9" s="505"/>
    </row>
    <row r="10" spans="1:7">
      <c r="A10" s="6" t="s">
        <v>1929</v>
      </c>
      <c r="B10" s="372">
        <v>0.29969713673447618</v>
      </c>
      <c r="C10" s="372">
        <v>0.30968688863786553</v>
      </c>
      <c r="D10" s="372">
        <f>1-(1-'Damage Calc'!L49)^(15*'Damage Calc'!I49)-IF(time=0,0,(1-'Damage Calc'!L49)^(15*'Damage Calc'!I49)*0.5*15/time)</f>
        <v>0.30968688863786553</v>
      </c>
      <c r="E10" s="120">
        <f>IF(AND(NOT('Gear &amp; Buffs'!B11="Executioner"),'Gear &amp; Buffs'!B17="Executioner"),840*(D10-enExOHup)*dpsArmor,0)</f>
        <v>0</v>
      </c>
      <c r="F10" s="6" t="s">
        <v>2308</v>
      </c>
      <c r="G10" s="505" t="s">
        <v>3148</v>
      </c>
    </row>
    <row r="11" spans="1:7" ht="12" thickBot="1">
      <c r="A11" s="6" t="s">
        <v>1930</v>
      </c>
      <c r="B11" s="372">
        <v>0.66559851660962344</v>
      </c>
      <c r="C11" s="372">
        <v>0.70622521139745531</v>
      </c>
      <c r="D11" s="372">
        <f>1-(1-'Damage Calc'!L47)^(15*'Damage Calc'!I47)-IF(time=0,0,(1-'Damage Calc'!L47)^(15*'Damage Calc'!I47)*0.5*15/time)</f>
        <v>0.70622521139745531</v>
      </c>
      <c r="E11" s="120">
        <f>IF(AND('Gear &amp; Buffs'!B11="Executioner",'Gear &amp; Buffs'!B17="Executioner"),840*(D11-enExBHup)*dpsArmor,0)</f>
        <v>0</v>
      </c>
      <c r="F11" s="6" t="s">
        <v>2308</v>
      </c>
      <c r="G11" s="506"/>
    </row>
    <row r="12" spans="1:7">
      <c r="A12" s="6" t="s">
        <v>1720</v>
      </c>
      <c r="B12" s="372">
        <v>0.15286968379242344</v>
      </c>
      <c r="C12" s="372">
        <v>0.14603869002514555</v>
      </c>
      <c r="D12" s="372">
        <f>10/(50+1/('Damage Calc'!K58*10%))</f>
        <v>0.14603869002514555</v>
      </c>
      <c r="E12" s="120">
        <f>IF(OR(trinket1="Hourglass of the Unraveller",trinket2="Hourglass of the Unraveller"),300*(D12-itHGup)*dpsAP,0)</f>
        <v>0</v>
      </c>
      <c r="F12" s="6" t="s">
        <v>2878</v>
      </c>
    </row>
    <row r="13" spans="1:7">
      <c r="A13" s="6" t="s">
        <v>524</v>
      </c>
      <c r="B13" s="372">
        <v>0.20773092034110976</v>
      </c>
      <c r="C13" s="372">
        <v>0.20853630167465081</v>
      </c>
      <c r="D13" s="372">
        <f>10/(45+1/('Damage Calc'!K47*15%))</f>
        <v>0.20853630167465081</v>
      </c>
      <c r="E13" s="120">
        <f>IF(Neck="Shattered Sun Pendant of Might (Aldor)",200*(D13-itSSPMAup)*dpsAP,0)</f>
        <v>0</v>
      </c>
      <c r="F13" s="6" t="s">
        <v>2874</v>
      </c>
    </row>
    <row r="14" spans="1:7">
      <c r="A14" s="6" t="s">
        <v>2313</v>
      </c>
      <c r="B14" s="218">
        <v>48.139198457212096</v>
      </c>
      <c r="C14" s="218">
        <v>47.953281609460788</v>
      </c>
      <c r="D14" s="218">
        <f>(45+1/('Damage Calc'!K47*15%))</f>
        <v>47.953281609460788</v>
      </c>
      <c r="E14" s="120">
        <v>0</v>
      </c>
      <c r="F14" s="6" t="s">
        <v>2874</v>
      </c>
    </row>
    <row r="15" spans="1:7">
      <c r="A15" s="6" t="s">
        <v>526</v>
      </c>
      <c r="B15" s="372">
        <v>0.20773092034110976</v>
      </c>
      <c r="C15" s="372">
        <v>0.20853630167465081</v>
      </c>
      <c r="D15" s="372">
        <f>10/(45+1/('Damage Calc'!K47*15%))</f>
        <v>0.20853630167465081</v>
      </c>
      <c r="E15" s="120">
        <v>0</v>
      </c>
      <c r="F15" s="6" t="s">
        <v>2874</v>
      </c>
    </row>
    <row r="16" spans="1:7">
      <c r="A16" s="6" t="s">
        <v>525</v>
      </c>
      <c r="B16" s="372">
        <v>0.20773092034110976</v>
      </c>
      <c r="C16" s="372">
        <v>0.20853630167465081</v>
      </c>
      <c r="D16" s="372">
        <f>10/(45+1/('Damage Calc'!K47*15%))</f>
        <v>0.20853630167465081</v>
      </c>
      <c r="E16" s="120">
        <f>IF(Neck="Shattered Sun Pendant of Resolve (Scryer)",100*(D16-itSSPRSup)*dpsExp,0)</f>
        <v>0</v>
      </c>
      <c r="F16" s="6" t="s">
        <v>2874</v>
      </c>
    </row>
    <row r="17" spans="1:6">
      <c r="A17" s="6" t="s">
        <v>1134</v>
      </c>
      <c r="B17" s="372">
        <v>0.52329256506102406</v>
      </c>
      <c r="C17" s="372">
        <v>0.56461622930697231</v>
      </c>
      <c r="D17" s="372">
        <f>1-(1-'Damage Calc'!L48)^(15*'Damage Calc'!I48)-IF(time=0,0,(1-'Damage Calc'!L48)^(15*'Damage Calc'!I48)*0.5*15/time)</f>
        <v>0.56461622930697231</v>
      </c>
      <c r="E17" s="120">
        <f>IF('Gear &amp; Buffs'!B11="Crusader",60*(D17-enCrMHup)*dpsStr,0)</f>
        <v>0</v>
      </c>
      <c r="F17" s="6" t="s">
        <v>2308</v>
      </c>
    </row>
    <row r="18" spans="1:6">
      <c r="A18" s="6" t="s">
        <v>1135</v>
      </c>
      <c r="B18" s="372">
        <v>0.29969713673447618</v>
      </c>
      <c r="C18" s="372">
        <v>0.30968688863786553</v>
      </c>
      <c r="D18" s="372">
        <f>1-(1-'Damage Calc'!L49)^(15*'Damage Calc'!I49)-IF(time=0,0,(1-'Damage Calc'!L49)^(15*'Damage Calc'!I49)*0.5*15/time)</f>
        <v>0.30968688863786553</v>
      </c>
      <c r="E18" s="120">
        <f>IF('Gear &amp; Buffs'!B17="Crusader",60*(D18-enCrOHup)*dpsStr,0)</f>
        <v>0</v>
      </c>
      <c r="F18" s="6" t="s">
        <v>2308</v>
      </c>
    </row>
    <row r="19" spans="1:6">
      <c r="A19" s="6" t="s">
        <v>100</v>
      </c>
      <c r="B19" s="372">
        <v>0.19619316642458101</v>
      </c>
      <c r="C19" s="372">
        <v>0.19931560431888201</v>
      </c>
      <c r="D19" s="372">
        <f>10/(45+1/('Damage Calc'!K48*15%))</f>
        <v>0.19931560431888201</v>
      </c>
      <c r="E19" s="120">
        <f>IF('Gear &amp; Buffs'!B12="Righteous Weapon Coating",300*(D19-enRWCmhUP)*dpsAP,0)</f>
        <v>0</v>
      </c>
      <c r="F19" s="6" t="s">
        <v>36</v>
      </c>
    </row>
    <row r="20" spans="1:6">
      <c r="A20" s="6" t="s">
        <v>101</v>
      </c>
      <c r="B20" s="372">
        <v>0.19372270034175654</v>
      </c>
      <c r="C20" s="372">
        <v>0.19618939954449016</v>
      </c>
      <c r="D20" s="372">
        <f>10/(45+1/('Damage Calc'!K49*15%))</f>
        <v>0.19618939954449016</v>
      </c>
      <c r="E20" s="120">
        <f>IF('Gear &amp; Buffs'!B18="Righteous Weapon Coating",300*(D20-enRWCohUP)*dpsAP,0)</f>
        <v>0</v>
      </c>
      <c r="F20" s="6" t="s">
        <v>36</v>
      </c>
    </row>
    <row r="21" spans="1:6">
      <c r="A21" s="6" t="s">
        <v>102</v>
      </c>
      <c r="B21" s="372">
        <v>0.20773092034110976</v>
      </c>
      <c r="C21" s="372">
        <v>0.20853630167465081</v>
      </c>
      <c r="D21" s="372">
        <f>10/(45+1/('Damage Calc'!K47*15%))</f>
        <v>0.20853630167465081</v>
      </c>
      <c r="E21" s="120">
        <f>IF(AND('Gear &amp; Buffs'!B12="Righteous Weapon Coating",'Gear &amp; Buffs'!B18="Righteous Weapon Coating"),300*(D21-enRWCbhUP)*dpsAP,0)</f>
        <v>0</v>
      </c>
      <c r="F21" s="6" t="s">
        <v>36</v>
      </c>
    </row>
    <row r="22" spans="1:6">
      <c r="A22" s="6" t="s">
        <v>2060</v>
      </c>
      <c r="B22" s="372">
        <v>0.25646610678141257</v>
      </c>
      <c r="C22" s="372">
        <v>0.28289834939915232</v>
      </c>
      <c r="D22" s="372">
        <f>1-(1-'Damage Calc'!L48)^(6*'Damage Calc'!I48)-IF(time=0,0,(1-'Damage Calc'!L48)^(6*'Damage Calc'!I48)*0.5*6/time)</f>
        <v>0.28289834939915232</v>
      </c>
      <c r="E22" s="120">
        <v>0</v>
      </c>
      <c r="F22" s="6" t="s">
        <v>2308</v>
      </c>
    </row>
    <row r="23" spans="1:6">
      <c r="A23" s="6" t="s">
        <v>2061</v>
      </c>
      <c r="B23" s="372">
        <v>0.13280980102516837</v>
      </c>
      <c r="C23" s="372">
        <v>0.13915354962187584</v>
      </c>
      <c r="D23" s="372">
        <f>1-(1-'Damage Calc'!L49)^(6*'Damage Calc'!I49)-IF(time=0,0,(1-'Damage Calc'!L48)^(6*'Damage Calc'!I48)*0.5*6/time)</f>
        <v>0.13915354962187584</v>
      </c>
      <c r="E23" s="120">
        <v>0</v>
      </c>
      <c r="F23" s="6" t="s">
        <v>2308</v>
      </c>
    </row>
    <row r="24" spans="1:6">
      <c r="A24" s="6" t="s">
        <v>2062</v>
      </c>
      <c r="B24" s="372">
        <v>0.35478080629916287</v>
      </c>
      <c r="C24" s="372">
        <v>0.38628062883500175</v>
      </c>
      <c r="D24" s="372">
        <f>1-(1-'Damage Calc'!L47)^(6*'Damage Calc'!I47)-IF(time=0,0,(1-'Damage Calc'!L48)^(6*'Damage Calc'!I48)*0.5*6/time)</f>
        <v>0.38628062883500175</v>
      </c>
      <c r="E24" s="120">
        <v>0</v>
      </c>
      <c r="F24" s="6" t="s">
        <v>2308</v>
      </c>
    </row>
    <row r="25" spans="1:6">
      <c r="A25" s="6" t="s">
        <v>2064</v>
      </c>
      <c r="B25" s="372">
        <v>4.8388681306019823E-2</v>
      </c>
      <c r="C25" s="372">
        <v>5.5859707067937678E-2</v>
      </c>
      <c r="D25" s="372">
        <f>'Damage Calc'!L48*'Damage Calc'!I48</f>
        <v>5.5859707067937678E-2</v>
      </c>
      <c r="E25" s="120">
        <v>0</v>
      </c>
      <c r="F25" s="6" t="s">
        <v>2308</v>
      </c>
    </row>
    <row r="26" spans="1:6">
      <c r="A26" s="6" t="s">
        <v>2065</v>
      </c>
      <c r="B26" s="372">
        <v>2.349719128761122E-2</v>
      </c>
      <c r="C26" s="372">
        <v>2.6051173438538348E-2</v>
      </c>
      <c r="D26" s="372">
        <f>'Damage Calc'!L49*'Damage Calc'!I49</f>
        <v>2.6051173438538348E-2</v>
      </c>
      <c r="E26" s="120">
        <v>0</v>
      </c>
      <c r="F26" s="6" t="s">
        <v>2308</v>
      </c>
    </row>
    <row r="27" spans="1:6">
      <c r="A27" s="6" t="s">
        <v>1674</v>
      </c>
      <c r="B27" s="372">
        <v>0.16890115759854415</v>
      </c>
      <c r="C27" s="372">
        <v>0.17404929717432444</v>
      </c>
      <c r="D27" s="372">
        <f>10/(45+1/('Damage Calc'!I89*'Damage Calc'!L89))</f>
        <v>0.17404929717432444</v>
      </c>
      <c r="E27" s="120">
        <f>IF(SetTB2p, 450*(D27-stTwinUP)*dpsHaste, 0)</f>
        <v>0</v>
      </c>
      <c r="F27" s="6" t="s">
        <v>1675</v>
      </c>
    </row>
    <row r="28" spans="1:6">
      <c r="A28" s="6" t="s">
        <v>2005</v>
      </c>
      <c r="B28" s="372">
        <v>0.40234326580194024</v>
      </c>
      <c r="C28" s="372">
        <v>0.40461321853618898</v>
      </c>
      <c r="D28" s="372">
        <f>20/(45+1/('Damage Calc'!K47*10%))</f>
        <v>0.40461321853618898</v>
      </c>
      <c r="E28" s="120">
        <f>IF(OR(trinket1="Blackened Naaru Sliver",trinket2="Blackened Naaru Sliver"),(D29*D28-C29*C28)*dpsAP,0)</f>
        <v>0</v>
      </c>
      <c r="F28" s="6" t="s">
        <v>2309</v>
      </c>
    </row>
    <row r="29" spans="1:6">
      <c r="A29" s="6" t="s">
        <v>2006</v>
      </c>
      <c r="B29" s="218">
        <v>393.38290291040045</v>
      </c>
      <c r="C29" s="218">
        <v>398.84515385839478</v>
      </c>
      <c r="D29" s="218">
        <f>Trinket!AF43</f>
        <v>398.84515385839478</v>
      </c>
      <c r="E29" s="120"/>
    </row>
    <row r="30" spans="1:6">
      <c r="A30" s="6" t="s">
        <v>1089</v>
      </c>
      <c r="B30" s="372">
        <v>2.1214511306480888E-2</v>
      </c>
      <c r="C30" s="372">
        <v>2.3419834716974508E-2</v>
      </c>
      <c r="D30" s="372">
        <f>1-(1-'Damage Calc'!L47)^(MIN((Cycles!J15*Cycles!O2+25-5*relent-25*dm4p1)/Cycles!C7,20)/'Damage Calc'!J47)</f>
        <v>2.3419834716974508E-2</v>
      </c>
      <c r="E30" s="120"/>
    </row>
    <row r="31" spans="1:6">
      <c r="A31" s="6" t="s">
        <v>1080</v>
      </c>
      <c r="B31" s="372">
        <v>4.1778695251399434E-2</v>
      </c>
      <c r="C31" s="372">
        <v>4.6089513457263864E-2</v>
      </c>
      <c r="D31" s="372">
        <f>1-(1-'Damage Calc'!L47)^(MIN((Cycles!K15*Cycles!O2+25-10*relent-25*dm4p1)/Cycles!C7,20)/'Damage Calc'!J47)</f>
        <v>4.6089513457263864E-2</v>
      </c>
      <c r="E31" s="120"/>
    </row>
    <row r="32" spans="1:6">
      <c r="A32" s="6" t="s">
        <v>1081</v>
      </c>
      <c r="B32" s="372">
        <v>6.1910827775240151E-2</v>
      </c>
      <c r="C32" s="372">
        <v>6.8232953438609245E-2</v>
      </c>
      <c r="D32" s="372">
        <f>1-(1-'Damage Calc'!L47)^(MIN((Cycles!L15*Cycles!O2+25-15*relent-25*dm4p1)/Cycles!C7,20)/'Damage Calc'!J47)</f>
        <v>6.8232953438609245E-2</v>
      </c>
      <c r="E32" s="120"/>
    </row>
    <row r="33" spans="1:6">
      <c r="A33" s="6" t="s">
        <v>1082</v>
      </c>
      <c r="B33" s="372">
        <v>8.1619986234583441E-2</v>
      </c>
      <c r="C33" s="372">
        <v>8.9862370415569104E-2</v>
      </c>
      <c r="D33" s="372">
        <f>1-(1-'Damage Calc'!L47)^(MIN((Cycles!M15*Cycles!O2+25-20*relent-25*dm4p1)/Cycles!C7,20)/'Damage Calc'!J47)</f>
        <v>8.9862370415569104E-2</v>
      </c>
      <c r="E33" s="120"/>
    </row>
    <row r="34" spans="1:6">
      <c r="A34" s="6" t="s">
        <v>1083</v>
      </c>
      <c r="B34" s="372">
        <v>0.10091505727166783</v>
      </c>
      <c r="C34" s="372">
        <v>0.11098969657434687</v>
      </c>
      <c r="D34" s="372">
        <f>1-(1-'Damage Calc'!L47)^(MIN((Cycles!N15*Cycles!O2+25-25*relent-25*dm4p1)/Cycles!C7,20)/'Damage Calc'!J47)</f>
        <v>0.11098969657434687</v>
      </c>
      <c r="E34" s="120"/>
    </row>
    <row r="35" spans="1:6">
      <c r="A35" s="6" t="s">
        <v>1084</v>
      </c>
      <c r="B35" s="372">
        <v>2.1214511306480888E-2</v>
      </c>
      <c r="C35" s="372">
        <v>2.3419834716974508E-2</v>
      </c>
      <c r="D35" s="372">
        <f>1-(1-'Damage Calc'!L47)^(MIN((Cycles!J15*Cycles!O2+Cycles!O3-5*relent-25*dm4p1)/Cycles!C7,20)/'Damage Calc'!J47)</f>
        <v>2.3419834716974508E-2</v>
      </c>
      <c r="E35" s="120"/>
    </row>
    <row r="36" spans="1:6">
      <c r="A36" s="6" t="s">
        <v>1085</v>
      </c>
      <c r="B36" s="372">
        <v>4.1778695251399434E-2</v>
      </c>
      <c r="C36" s="372">
        <v>4.6089513457263864E-2</v>
      </c>
      <c r="D36" s="372">
        <f>1-(1-'Damage Calc'!L47)^(MIN((Cycles!K15*Cycles!O2+Cycles!O3-10*relent-25*dm4p1)/Cycles!C7,20)/'Damage Calc'!J47)</f>
        <v>4.6089513457263864E-2</v>
      </c>
      <c r="E36" s="120"/>
    </row>
    <row r="37" spans="1:6">
      <c r="A37" s="6" t="s">
        <v>1086</v>
      </c>
      <c r="B37" s="372">
        <v>6.1910827775240151E-2</v>
      </c>
      <c r="C37" s="372">
        <v>6.8232953438609245E-2</v>
      </c>
      <c r="D37" s="372">
        <f>1-(1-'Damage Calc'!L47)^(MIN((Cycles!L15*Cycles!O2+Cycles!O3-15*relent-25*dm4p1)/Cycles!C7,20)/'Damage Calc'!J47)</f>
        <v>6.8232953438609245E-2</v>
      </c>
      <c r="E37" s="120"/>
    </row>
    <row r="38" spans="1:6">
      <c r="A38" s="6" t="s">
        <v>1087</v>
      </c>
      <c r="B38" s="372">
        <v>8.1619986234583441E-2</v>
      </c>
      <c r="C38" s="372">
        <v>8.9862370415569104E-2</v>
      </c>
      <c r="D38" s="372">
        <f>1-(1-'Damage Calc'!L47)^(MIN((Cycles!M15*Cycles!O2+Cycles!O3-20*relent-25*dm4p1)/Cycles!C7,20)/'Damage Calc'!J47)</f>
        <v>8.9862370415569104E-2</v>
      </c>
      <c r="E38" s="120"/>
    </row>
    <row r="39" spans="1:6">
      <c r="A39" s="6" t="s">
        <v>1088</v>
      </c>
      <c r="B39" s="372">
        <v>0.10091505727166783</v>
      </c>
      <c r="C39" s="372">
        <v>0.11098969657434687</v>
      </c>
      <c r="D39" s="372">
        <f>1-(1-'Damage Calc'!L47)^(MIN((Cycles!N15*Cycles!O2+Cycles!O3-25*relent-25*dm4p1)/Cycles!C7,20)/'Damage Calc'!J47)</f>
        <v>0.11098969657434687</v>
      </c>
      <c r="E39" s="120"/>
    </row>
    <row r="40" spans="1:6">
      <c r="A40" s="6" t="s">
        <v>1094</v>
      </c>
      <c r="B40" s="372">
        <v>2.7100225771663156E-2</v>
      </c>
      <c r="C40" s="372">
        <v>2.9921082443867153E-2</v>
      </c>
      <c r="D40" s="372">
        <f>1-(1-'Damage Calc'!L47)^(MIN((Cycles!J15*Cycles!O2+Cycles!O4-5*relent-25*dm4p1)/Cycles!C7,20)/'Damage Calc'!J47)</f>
        <v>2.9921082443867153E-2</v>
      </c>
      <c r="E40" s="120"/>
    </row>
    <row r="41" spans="1:6">
      <c r="A41" s="6" t="s">
        <v>1090</v>
      </c>
      <c r="B41" s="372">
        <v>4.7540751452020746E-2</v>
      </c>
      <c r="C41" s="372">
        <v>5.2439845567989973E-2</v>
      </c>
      <c r="D41" s="372">
        <f>1-(1-'Damage Calc'!L47)^(MIN((Cycles!K15*Cycles!O2+Cycles!O4-10*relent-25*dm4p1)/Cycles!C7,20)/'Damage Calc'!J47)</f>
        <v>5.2439845567989973E-2</v>
      </c>
      <c r="E41" s="120"/>
    </row>
    <row r="42" spans="1:6">
      <c r="A42" s="6" t="s">
        <v>1091</v>
      </c>
      <c r="B42" s="372">
        <v>6.7551823758909557E-2</v>
      </c>
      <c r="C42" s="372">
        <v>7.4435873187337798E-2</v>
      </c>
      <c r="D42" s="372">
        <f>1-(1-'Damage Calc'!L47)^(MIN((Cycles!L15*Cycles!O2+Cycles!O4-15*relent-25*dm4p1)/Cycles!C7,20)/'Damage Calc'!J47)</f>
        <v>7.4435873187337798E-2</v>
      </c>
      <c r="E42" s="120"/>
    </row>
    <row r="43" spans="1:6">
      <c r="A43" s="6" t="s">
        <v>1092</v>
      </c>
      <c r="B43" s="372">
        <v>8.7142465464193131E-2</v>
      </c>
      <c r="C43" s="372">
        <v>9.5921299734270105E-2</v>
      </c>
      <c r="D43" s="372">
        <f>1-(1-'Damage Calc'!L47)^(MIN((Cycles!M15*Cycles!O2+Cycles!O4-20*relent-25*dm4p1)/Cycles!C7,20)/'Damage Calc'!J47)</f>
        <v>9.5921299734270105E-2</v>
      </c>
      <c r="E43" s="120"/>
    </row>
    <row r="44" spans="1:6">
      <c r="A44" s="6" t="s">
        <v>1093</v>
      </c>
      <c r="B44" s="372">
        <v>0.10632150977221233</v>
      </c>
      <c r="C44" s="372">
        <v>0.11690797796055041</v>
      </c>
      <c r="D44" s="372">
        <f>1-(1-'Damage Calc'!L47)^(MIN((Cycles!N15*Cycles!O2+Cycles!O4-25*relent-25*dm4p1)/Cycles!C7,20)/'Damage Calc'!J47)</f>
        <v>0.11690797796055041</v>
      </c>
      <c r="E44" s="120"/>
    </row>
    <row r="45" spans="1:6">
      <c r="A45" s="6" t="s">
        <v>2235</v>
      </c>
      <c r="B45" s="372">
        <v>0.72388328349892461</v>
      </c>
      <c r="C45" s="372">
        <v>0.60000000000000009</v>
      </c>
      <c r="D45" s="372">
        <f>CP*0.2*MIN(1,10*finish/cyclet)</f>
        <v>0.60000000000000009</v>
      </c>
      <c r="E45" s="120">
        <f>IF(OR(trinket1="Ashtongue Talisman of Lethality",trinket2="Ashtongue Talisman of Lethality"),145*(D45-itAToLup)*dpsCrit,0)</f>
        <v>0</v>
      </c>
    </row>
    <row r="46" spans="1:6">
      <c r="A46" s="6" t="s">
        <v>3012</v>
      </c>
      <c r="B46" s="218">
        <v>11.16661876292765</v>
      </c>
      <c r="C46" s="218">
        <v>12.890701631062541</v>
      </c>
      <c r="D46" s="218">
        <f>10*'Damage Calc'!K48</f>
        <v>12.890701631062541</v>
      </c>
      <c r="E46" s="120"/>
      <c r="F46" s="6" t="s">
        <v>3010</v>
      </c>
    </row>
    <row r="47" spans="1:6">
      <c r="A47" s="6" t="s">
        <v>3011</v>
      </c>
      <c r="B47" s="218">
        <v>10.070224837547666</v>
      </c>
      <c r="C47" s="218">
        <v>11.164788616516436</v>
      </c>
      <c r="D47" s="218">
        <f>10*'Damage Calc'!K49</f>
        <v>11.164788616516436</v>
      </c>
      <c r="E47" s="120"/>
      <c r="F47" s="6" t="s">
        <v>3010</v>
      </c>
    </row>
    <row r="48" spans="1:6">
      <c r="A48" s="6" t="s">
        <v>3014</v>
      </c>
      <c r="B48" s="372">
        <v>0.15209062457841166</v>
      </c>
      <c r="C48" s="372">
        <v>0.15880381578445329</v>
      </c>
      <c r="D48" s="372">
        <f>10/(45+1/('Damage Calc'!I107*'Damage Calc'!L107))</f>
        <v>0.15880381578445329</v>
      </c>
      <c r="E48" s="120">
        <f>IF(mh="The Bladefist", 180*(D48-itTBFup)*dpsHaste, 0)</f>
        <v>0</v>
      </c>
      <c r="F48" s="6" t="s">
        <v>1675</v>
      </c>
    </row>
    <row r="49" spans="1:6">
      <c r="A49" s="6" t="s">
        <v>2238</v>
      </c>
      <c r="B49" s="372">
        <v>0.38975913970519804</v>
      </c>
      <c r="C49" s="372">
        <v>0.42551658077912685</v>
      </c>
      <c r="D49" s="372">
        <f>1-(1-'Damage Calc'!$L$48)^(10*'Damage Calc'!$I$48)-IF(time=0,0,(1-'Damage Calc'!$L$48)^(10*'Damage Calc'!$I$48)*0.5*10/time)</f>
        <v>0.42551658077912685</v>
      </c>
      <c r="E49" s="120">
        <f>IF(mh="Heartrazor",270*(D49-itHRmhUP)*dpsAP,0)</f>
        <v>0</v>
      </c>
      <c r="F49" s="6" t="s">
        <v>2308</v>
      </c>
    </row>
    <row r="50" spans="1:6">
      <c r="A50" s="6" t="s">
        <v>2239</v>
      </c>
      <c r="B50" s="372">
        <v>0.2113991006769228</v>
      </c>
      <c r="C50" s="372">
        <v>0.21886381592910398</v>
      </c>
      <c r="D50" s="372">
        <f>1-(1-'Damage Calc'!$L$49)^(10*'Damage Calc'!$I$49)-IF(time=0,0,(1-'Damage Calc'!$L$49)^(10*'Damage Calc'!$I$49)*0.5*10/time)</f>
        <v>0.21886381592910398</v>
      </c>
      <c r="E50" s="120">
        <f>IF(mh="Heartrazor",270*(D50-itHRohUP)*dpsAP,0)</f>
        <v>0</v>
      </c>
      <c r="F50" s="6" t="s">
        <v>2308</v>
      </c>
    </row>
    <row r="51" spans="1:6">
      <c r="A51" s="6" t="s">
        <v>3017</v>
      </c>
      <c r="B51" s="372">
        <v>0.38975913970519804</v>
      </c>
      <c r="C51" s="372">
        <v>0.42551658077912685</v>
      </c>
      <c r="D51" s="372">
        <f>1-(1-'Damage Calc'!$L$48)^(10*'Damage Calc'!$I$48)-IF(time=0,0,(1-'Damage Calc'!$L$48)^(10*'Damage Calc'!$I$48)*0.5*10/time)</f>
        <v>0.42551658077912685</v>
      </c>
      <c r="E51" s="120"/>
      <c r="F51" s="6" t="s">
        <v>2308</v>
      </c>
    </row>
    <row r="52" spans="1:6">
      <c r="A52" s="6" t="s">
        <v>3016</v>
      </c>
      <c r="B52" s="372">
        <v>0.2113991006769228</v>
      </c>
      <c r="C52" s="372">
        <v>0.21886381592910398</v>
      </c>
      <c r="D52" s="372">
        <f>1-(1-'Damage Calc'!$L$49)^(10*'Damage Calc'!$I$49)-IF(time=0,0,(1-'Damage Calc'!$L$49)^(10*'Damage Calc'!$I$49)*0.5*10/time)</f>
        <v>0.21886381592910398</v>
      </c>
      <c r="E52" s="120"/>
      <c r="F52" s="6" t="s">
        <v>2308</v>
      </c>
    </row>
    <row r="53" spans="1:6">
      <c r="A53" s="6" t="s">
        <v>2412</v>
      </c>
      <c r="B53" s="218">
        <v>0.44805233509221709</v>
      </c>
      <c r="C53" s="218">
        <v>0.33464313459900341</v>
      </c>
      <c r="D53" s="218">
        <f>5*instsec*instcrit</f>
        <v>0.33464313459900341</v>
      </c>
      <c r="E53" s="120"/>
    </row>
    <row r="54" spans="1:6">
      <c r="A54" s="6" t="s">
        <v>2877</v>
      </c>
      <c r="B54" s="372">
        <v>0.31102727206362035</v>
      </c>
      <c r="C54" s="372">
        <v>0.33374978855287174</v>
      </c>
      <c r="D54" s="372">
        <f>'Damage Calc'!L47*(15-IF(CharLevel&gt;60,(CharLevel-60)*0.5,0))</f>
        <v>0.33374978855287174</v>
      </c>
      <c r="E54" s="120"/>
      <c r="F54" s="6" t="s">
        <v>2979</v>
      </c>
    </row>
    <row r="55" spans="1:6">
      <c r="A55" s="6" t="s">
        <v>2860</v>
      </c>
      <c r="B55" s="218">
        <v>63.710530801425953</v>
      </c>
      <c r="C55" s="218">
        <v>67.721276345372416</v>
      </c>
      <c r="D55" s="218">
        <f>30*'Damage Calc'!K47</f>
        <v>67.721276345372416</v>
      </c>
      <c r="E55" s="120"/>
      <c r="F55" s="6" t="s">
        <v>2979</v>
      </c>
    </row>
    <row r="56" spans="1:6">
      <c r="A56" s="6" t="s">
        <v>2873</v>
      </c>
      <c r="B56" s="372">
        <v>0.11108414712726833</v>
      </c>
      <c r="C56" s="372">
        <v>0.11473598614129397</v>
      </c>
      <c r="D56" s="372">
        <f>6/(40+1/('Damage Calc'!I98*'Damage Calc'!L98))</f>
        <v>0.11473598614129397</v>
      </c>
      <c r="E56" s="120"/>
      <c r="F56" s="6" t="s">
        <v>2875</v>
      </c>
    </row>
    <row r="57" spans="1:6">
      <c r="A57" s="6" t="s">
        <v>2880</v>
      </c>
      <c r="B57" s="372">
        <v>0.13529796960861193</v>
      </c>
      <c r="C57" s="372">
        <v>0.13848806152346038</v>
      </c>
      <c r="D57" s="372">
        <f>10/(60+1/('Damage Calc'!I47*'Damage Calc'!L47))</f>
        <v>0.13848806152346038</v>
      </c>
      <c r="E57" s="120">
        <f>IF(OR('Gear &amp; Buffs'!B66="Band of the Eternal Champion", 'Gear &amp; Buffs'!B68="Band of the Eternal Champion"), 160*(D57-C57)*dpsAP, 0)</f>
        <v>0</v>
      </c>
      <c r="F57" s="6" t="s">
        <v>2881</v>
      </c>
    </row>
    <row r="58" spans="1:6">
      <c r="A58" s="6" t="s">
        <v>3042</v>
      </c>
      <c r="B58" s="372">
        <v>0.47458276748102635</v>
      </c>
      <c r="C58" s="372">
        <v>0.48283016114481747</v>
      </c>
      <c r="D58" s="372">
        <f>1-(1-0.02)^(15*'Damage Calc'!K47)-IF(time=0,0,(1-0.02)^(15*'Damage Calc'!K47)*0.5*15/time)</f>
        <v>0.48283016114481747</v>
      </c>
      <c r="E58" s="120">
        <f>IF(ww4p, 160*(D58-C58)*dpsAP, 0)</f>
        <v>0</v>
      </c>
      <c r="F58" s="6" t="s">
        <v>3040</v>
      </c>
    </row>
    <row r="59" spans="1:6">
      <c r="A59" s="6" t="s">
        <v>3127</v>
      </c>
      <c r="B59" s="218">
        <v>120</v>
      </c>
      <c r="C59" s="218">
        <v>118.4203190369889</v>
      </c>
      <c r="D59" s="218">
        <f>Trinket!AZ48</f>
        <v>118.4203190369889</v>
      </c>
      <c r="E59" s="120"/>
    </row>
    <row r="60" spans="1:6">
      <c r="A60" s="6" t="s">
        <v>3129</v>
      </c>
      <c r="B60" s="372">
        <v>1.2500000000000001E-2</v>
      </c>
      <c r="C60" s="372">
        <v>1.217101076170575E-2</v>
      </c>
      <c r="D60" s="372">
        <f>2%*IF(CharLevel&gt;60,(CharLevel-60)*2/30,0)*(1-2%)^(2*'Damage Calc'!K47)</f>
        <v>1.217101076170575E-2</v>
      </c>
      <c r="E60" s="120"/>
    </row>
    <row r="61" spans="1:6">
      <c r="A61" s="6" t="s">
        <v>3031</v>
      </c>
      <c r="B61" s="372">
        <v>1</v>
      </c>
      <c r="C61" s="372">
        <v>0.9966666666666667</v>
      </c>
      <c r="D61" s="372">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B20" sqref="B20"/>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20"/>
      <c r="B1" s="521" t="s">
        <v>1272</v>
      </c>
      <c r="C1" s="522" t="s">
        <v>742</v>
      </c>
      <c r="D1" s="523" t="s">
        <v>1573</v>
      </c>
      <c r="E1" s="523" t="s">
        <v>1574</v>
      </c>
      <c r="F1" s="521" t="s">
        <v>269</v>
      </c>
      <c r="G1" s="522" t="s">
        <v>267</v>
      </c>
      <c r="H1" s="523" t="s">
        <v>268</v>
      </c>
      <c r="I1" s="521" t="s">
        <v>1575</v>
      </c>
      <c r="J1" s="523" t="s">
        <v>1576</v>
      </c>
      <c r="L1" s="67"/>
      <c r="O1" s="67" t="s">
        <v>1577</v>
      </c>
    </row>
    <row r="2" spans="1:21">
      <c r="A2" s="524" t="s">
        <v>1578</v>
      </c>
      <c r="B2" s="525">
        <f>bMHavg+bAP/APtoDPS*bMHspd</f>
        <v>798.8839456904077</v>
      </c>
      <c r="C2" s="526">
        <f>bMHdam*bMHgfact</f>
        <v>599.16295926780572</v>
      </c>
      <c r="D2" s="527">
        <f>bMHdam*bMHcfact</f>
        <v>1645.7009281222399</v>
      </c>
      <c r="E2" s="527">
        <f>bMHdam*bMHhit+bMHgdam*bMHglan+bMHcdam*bMHcrit</f>
        <v>921.86363651132888</v>
      </c>
      <c r="F2" s="528">
        <f>1/bMHspd*bHaste</f>
        <v>0.47245947878938588</v>
      </c>
      <c r="G2" s="529">
        <f>bMHasec*bMHthit</f>
        <v>0.46280286797900771</v>
      </c>
      <c r="H2" s="530">
        <f>bMHasec*bMHcrit</f>
        <v>0.10446631487564784</v>
      </c>
      <c r="I2" s="531">
        <f>bMHadam*bMHasec*bGlobDam</f>
        <v>462.02424058486895</v>
      </c>
      <c r="J2" s="532">
        <f t="shared" ref="J2:J7" si="0">I2*armoradj</f>
        <v>342.72411171437074</v>
      </c>
      <c r="K2" s="109"/>
      <c r="O2" s="66" t="s">
        <v>1579</v>
      </c>
      <c r="Q2" s="68">
        <f>BaseMissPerc</f>
        <v>0.27</v>
      </c>
      <c r="R2" s="203"/>
      <c r="T2" s="27" t="s">
        <v>3098</v>
      </c>
      <c r="U2" s="107">
        <f>IF(CharLevel&lt;=60,(CharLevel-8)/52,IF(CharLevel&lt;=70,82/(262-3*CharLevel),82/52))</f>
        <v>1.5769230769230769</v>
      </c>
    </row>
    <row r="3" spans="1:21">
      <c r="A3" s="508" t="s">
        <v>109</v>
      </c>
      <c r="B3" s="330">
        <f>bMHdam</f>
        <v>798.8839456904077</v>
      </c>
      <c r="C3" s="341">
        <f>bMHgdam</f>
        <v>599.16295926780572</v>
      </c>
      <c r="D3" s="345">
        <f>bMHcdam</f>
        <v>1645.7009281222399</v>
      </c>
      <c r="E3" s="345">
        <f>bMHadam</f>
        <v>921.86363651132888</v>
      </c>
      <c r="F3" s="344">
        <f>(sndfact-1)*sndup*bMHasec</f>
        <v>0.14126538415802639</v>
      </c>
      <c r="G3" s="336">
        <f>(sndfact-1)*sndup*bMHhsec</f>
        <v>0.13837805752572332</v>
      </c>
      <c r="H3" s="351">
        <f>(sndfact-1)*sndup*bMHcsec</f>
        <v>3.1235428147818708E-2</v>
      </c>
      <c r="I3" s="348">
        <f>mhdps*(sndfact-1)*sndup</f>
        <v>138.14524793487584</v>
      </c>
      <c r="J3" s="509">
        <f t="shared" si="0"/>
        <v>102.47450940259687</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3" t="s">
        <v>1197</v>
      </c>
      <c r="B4" s="534">
        <f>bMHdam</f>
        <v>798.8839456904077</v>
      </c>
      <c r="C4" s="535">
        <f>bMHgdam</f>
        <v>599.16295926780572</v>
      </c>
      <c r="D4" s="536">
        <f>bMHcdam</f>
        <v>1645.7009281222399</v>
      </c>
      <c r="E4" s="536">
        <f>(B2*B22*Q10+B2*B23*cfact+B2*B24)</f>
        <v>921.86363651132888</v>
      </c>
      <c r="F4" s="537">
        <f>bExAtt</f>
        <v>0.32133894904104937</v>
      </c>
      <c r="G4" s="538">
        <f>F4*bMHhit</f>
        <v>0.16659794784524692</v>
      </c>
      <c r="H4" s="539">
        <f>F4*bMHcrit</f>
        <v>7.1051798808965227E-2</v>
      </c>
      <c r="I4" s="540">
        <f>E4*F4*bGlobDam</f>
        <v>314.24151819634557</v>
      </c>
      <c r="J4" s="541">
        <f t="shared" si="0"/>
        <v>233.10063786108816</v>
      </c>
      <c r="K4" s="109"/>
      <c r="L4" s="66" t="s">
        <v>3007</v>
      </c>
      <c r="M4" s="68">
        <f>IF(time=0, 1-(Q43/(467.5*CharLevel+Q43-22167.5)), 'Cooldowns Calc'!AA1)</f>
        <v>0.74178816089935429</v>
      </c>
      <c r="O4" s="490" t="s">
        <v>397</v>
      </c>
      <c r="P4" s="68"/>
      <c r="Q4" s="68">
        <f>BaseParPerc</f>
        <v>0.14000000000000001</v>
      </c>
      <c r="T4" s="27" t="s">
        <v>3092</v>
      </c>
      <c r="U4" s="107">
        <f>14*conv</f>
        <v>22.076923076923077</v>
      </c>
    </row>
    <row r="5" spans="1:21">
      <c r="A5" s="524" t="s">
        <v>1439</v>
      </c>
      <c r="B5" s="525">
        <f>(bOHavg+bAP/APtoDPS*bOHspd)*bOHdamfac</f>
        <v>312.78967037497233</v>
      </c>
      <c r="C5" s="526">
        <f>bOHdam*bOHgfact</f>
        <v>234.59225278122926</v>
      </c>
      <c r="D5" s="527">
        <f>bOHdam*bOHcfact</f>
        <v>644.34672097244299</v>
      </c>
      <c r="E5" s="527">
        <f>bOHdam*bOHhit+bOHgdam*bOHglan+bOHcdam*bOHcrit</f>
        <v>360.94031498637253</v>
      </c>
      <c r="F5" s="528">
        <f>1/bOHspd*bHaste</f>
        <v>0.87742474632314538</v>
      </c>
      <c r="G5" s="529">
        <f>bOHasec*bOHthit</f>
        <v>0.85949104053244307</v>
      </c>
      <c r="H5" s="530">
        <f>bOHasec*bOHcrit</f>
        <v>0.19400887048334603</v>
      </c>
      <c r="I5" s="531">
        <f>bOHadam*bOHasec*bGlobDam</f>
        <v>335.95320054504873</v>
      </c>
      <c r="J5" s="532">
        <f t="shared" si="0"/>
        <v>249.20610678056366</v>
      </c>
      <c r="K5" s="109"/>
      <c r="O5" s="66" t="s">
        <v>1181</v>
      </c>
      <c r="Q5" s="68">
        <f>BaseGlanPerc</f>
        <v>0.24</v>
      </c>
      <c r="T5" s="27" t="s">
        <v>3093</v>
      </c>
      <c r="U5" s="107">
        <f>10*conv</f>
        <v>15.769230769230768</v>
      </c>
    </row>
    <row r="6" spans="1:21">
      <c r="A6" s="508" t="s">
        <v>110</v>
      </c>
      <c r="B6" s="342">
        <f>bOHdam</f>
        <v>312.78967037497233</v>
      </c>
      <c r="C6" s="341">
        <f>bOHgdam</f>
        <v>234.59225278122926</v>
      </c>
      <c r="D6" s="346">
        <f>bOHcdam</f>
        <v>644.34672097244299</v>
      </c>
      <c r="E6" s="346">
        <f>bOHadam</f>
        <v>360.94031498637253</v>
      </c>
      <c r="F6" s="344">
        <f>(sndfact-1)*sndup*bOHasec</f>
        <v>0.26234999915062052</v>
      </c>
      <c r="G6" s="336">
        <f>(sndfact-1)*sndup*bOHhsec</f>
        <v>0.25698782111920054</v>
      </c>
      <c r="H6" s="351">
        <f>(sndfact-1)*sndup*bOHcsec</f>
        <v>5.800865227452047E-2</v>
      </c>
      <c r="I6" s="349">
        <f>(sndfact-1)*sndup*ohdps</f>
        <v>100.45000696296958</v>
      </c>
      <c r="J6" s="511">
        <f t="shared" si="0"/>
        <v>74.512625927388541</v>
      </c>
      <c r="K6" s="109"/>
      <c r="L6" s="67" t="s">
        <v>1183</v>
      </c>
      <c r="O6" s="66" t="s">
        <v>1182</v>
      </c>
      <c r="Q6" s="69">
        <f>OHDamFact</f>
        <v>0.75</v>
      </c>
      <c r="T6" s="27" t="s">
        <v>3094</v>
      </c>
      <c r="U6" s="105">
        <f>12*conv</f>
        <v>18.923076923076923</v>
      </c>
    </row>
    <row r="7" spans="1:21" ht="13.5" thickBot="1">
      <c r="A7" s="542" t="s">
        <v>1200</v>
      </c>
      <c r="B7" s="534">
        <f>bOHdam</f>
        <v>312.78967037497233</v>
      </c>
      <c r="C7" s="543">
        <f>bOHgdam</f>
        <v>234.59225278122926</v>
      </c>
      <c r="D7" s="544">
        <f>bOHcdam</f>
        <v>644.34672097244299</v>
      </c>
      <c r="E7" s="544">
        <f>bOHadam</f>
        <v>360.94031498637253</v>
      </c>
      <c r="F7" s="545">
        <f>IF(itBsOH,(bOHhsec+G6)*itBsEa,0)</f>
        <v>0</v>
      </c>
      <c r="G7" s="546">
        <f>F7*bOHthit</f>
        <v>0</v>
      </c>
      <c r="H7" s="547">
        <f>F7*bOHcrit</f>
        <v>0</v>
      </c>
      <c r="I7" s="540">
        <f>E7*F7*bGlobDam</f>
        <v>0</v>
      </c>
      <c r="J7" s="541">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9" t="str">
        <f>instatklng</f>
        <v>Sinister Strike</v>
      </c>
      <c r="B8" s="570">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1"/>
      <c r="D8" s="572">
        <f>B8*(1+((leth*0.06+2)-1)*(cfact-1))</f>
        <v>2349.2928798536086</v>
      </c>
      <c r="E8" s="572">
        <f>avginst*fwfactor</f>
        <v>1288.9417237527728</v>
      </c>
      <c r="F8" s="573"/>
      <c r="G8" s="574"/>
      <c r="H8" s="575"/>
      <c r="I8" s="576">
        <f>Q17*E8*bGlobDam*(1+DDmult)*IF(Talents!$O$27="Instants",1+Talents!I37*20%/(30*instsec),1)</f>
        <v>422.31929549312446</v>
      </c>
      <c r="J8" s="577">
        <f>IF(time=0,I8*armor,'Cooldowns Calc'!AG1)</f>
        <v>327.58159382962725</v>
      </c>
      <c r="K8" s="109"/>
      <c r="L8" s="66" t="s">
        <v>1188</v>
      </c>
      <c r="M8" s="72">
        <f>'Gear &amp; Buffs'!E6</f>
        <v>0.22111169225206101</v>
      </c>
      <c r="O8" s="66" t="s">
        <v>850</v>
      </c>
      <c r="Q8" s="73">
        <f>FLOOR(dskill/skillrate,1)+IF(AND('Gear &amp; Buffs'!B74="Human",OR(mhtype="Sword",mhtype="Mace")),5,0)</f>
        <v>18</v>
      </c>
      <c r="T8" s="27" t="s">
        <v>3095</v>
      </c>
      <c r="U8" s="107">
        <f>1.5*conv</f>
        <v>2.3653846153846154</v>
      </c>
    </row>
    <row r="9" spans="1:21">
      <c r="A9" s="548" t="s">
        <v>1185</v>
      </c>
      <c r="B9" s="549"/>
      <c r="C9" s="550"/>
      <c r="D9" s="551"/>
      <c r="E9" s="552"/>
      <c r="F9" s="553"/>
      <c r="G9" s="554"/>
      <c r="H9" s="555"/>
      <c r="I9" s="556">
        <f>Cycles!$Y$10*bGlobDam*(1+DDmult)</f>
        <v>0</v>
      </c>
      <c r="J9" s="557">
        <f t="shared" ref="J9:J10" si="1">I9*armor</f>
        <v>0</v>
      </c>
      <c r="K9" s="109"/>
      <c r="L9" s="66" t="s">
        <v>1190</v>
      </c>
      <c r="M9" s="74">
        <f>ap</f>
        <v>3165.5289383329646</v>
      </c>
      <c r="O9" s="66" t="s">
        <v>851</v>
      </c>
      <c r="Q9" s="73">
        <f>FLOOR(dskill/skillrate,1)+IF(AND('Gear &amp; Buffs'!B74="Human",OR(ohtype="Sword",ohtype="Mace")),5,0)</f>
        <v>18</v>
      </c>
      <c r="T9" s="66" t="s">
        <v>3099</v>
      </c>
      <c r="U9" s="107">
        <f>127/13570*CharLevel^2-1583/13570*CharLevel+3131/1357</f>
        <v>40</v>
      </c>
    </row>
    <row r="10" spans="1:21">
      <c r="A10" s="548" t="s">
        <v>1187</v>
      </c>
      <c r="B10" s="558"/>
      <c r="C10" s="559"/>
      <c r="D10" s="560"/>
      <c r="E10" s="560">
        <f>IF(evisec=0,0,evidmg)</f>
        <v>1459.2710844590233</v>
      </c>
      <c r="F10" s="561"/>
      <c r="G10" s="562"/>
      <c r="H10" s="563"/>
      <c r="I10" s="556">
        <f>E10*evisec/armor*bGlobDam*(1+DDmult)*(IF(AND(NOT(IF(Talents!$O$27="Instants",1,0)),Q18&gt;0),1+Talents!I37*20%/(30*Q18),1))</f>
        <v>4.928344503418173</v>
      </c>
      <c r="J10" s="557">
        <f t="shared" si="1"/>
        <v>3.6557876054689742</v>
      </c>
      <c r="K10" s="109"/>
      <c r="M10" s="74"/>
      <c r="O10" s="66" t="s">
        <v>1191</v>
      </c>
      <c r="Q10" s="66">
        <f>BaseGlanFact</f>
        <v>0.75</v>
      </c>
      <c r="T10" s="160" t="s">
        <v>3097</v>
      </c>
      <c r="U10" s="1337">
        <f>IF(CharLevel*5-BossLevel*5&lt;0, 0.2%, 0.04%)</f>
        <v>2E-3</v>
      </c>
    </row>
    <row r="11" spans="1:21">
      <c r="A11" s="548" t="s">
        <v>1189</v>
      </c>
      <c r="B11" s="558"/>
      <c r="C11" s="559"/>
      <c r="D11" s="560"/>
      <c r="E11" s="560">
        <f>rupdmg</f>
        <v>1759.7269451999114</v>
      </c>
      <c r="F11" s="561"/>
      <c r="G11" s="562"/>
      <c r="H11" s="563"/>
      <c r="I11" s="556">
        <f>E11*rupsec*bGlobDam*(1+DDmult)*(IF(AND(NOT(IF(Talents!$O$27="Instants",1,0)),Q18&gt;0),1+Talents!I37*20%/(30*Q18),1))</f>
        <v>115.52681337841148</v>
      </c>
      <c r="J11" s="557">
        <f>I11</f>
        <v>115.52681337841148</v>
      </c>
      <c r="K11" s="109"/>
      <c r="L11" s="66" t="s">
        <v>1193</v>
      </c>
      <c r="M11" s="75">
        <f>MHavg</f>
        <v>211</v>
      </c>
      <c r="O11" s="66" t="s">
        <v>1194</v>
      </c>
      <c r="Q11" s="66">
        <f>BaseGlanFact</f>
        <v>0.75</v>
      </c>
    </row>
    <row r="12" spans="1:21" ht="12.75" customHeight="1" thickBot="1">
      <c r="A12" s="578" t="s">
        <v>1192</v>
      </c>
      <c r="B12" s="579"/>
      <c r="C12" s="580"/>
      <c r="D12" s="581"/>
      <c r="E12" s="581">
        <f>envdmg</f>
        <v>0</v>
      </c>
      <c r="F12" s="582"/>
      <c r="G12" s="583"/>
      <c r="H12" s="584"/>
      <c r="I12" s="585">
        <f>E12*envsec*bGlobDam*(1+DDmult)*(IF(AND(NOT(IF(Talents!$O$27="Instants",1,0)),Q18&gt;0),1+Talents!I37*20%/(30*Q18),1))</f>
        <v>0</v>
      </c>
      <c r="J12" s="586">
        <f>I12</f>
        <v>0</v>
      </c>
      <c r="K12" s="109"/>
      <c r="L12" s="66" t="s">
        <v>1196</v>
      </c>
      <c r="M12" s="66">
        <f>MHspd</f>
        <v>2.6</v>
      </c>
      <c r="O12" s="66" t="s">
        <v>1197</v>
      </c>
      <c r="Q12" s="68">
        <f>(IF(mhtype="Sword",talSwSpcFac,0)+IF(mh="blinkstrike",0.02,0))</f>
        <v>7.0000000000000007E-2</v>
      </c>
      <c r="R12" s="900">
        <f>(1-B19-B20)*Q12</f>
        <v>6.8569268292682936E-2</v>
      </c>
      <c r="T12" s="66" t="s">
        <v>3100</v>
      </c>
      <c r="U12" s="1338">
        <f>1-MAX(4%+(BossLevel-CharLevel)*1%+MAX((BossLevel-CharLevel-2)*10%,0%),1%)</f>
        <v>0.83</v>
      </c>
    </row>
    <row r="13" spans="1:21">
      <c r="A13" s="507" t="s">
        <v>1195</v>
      </c>
      <c r="B13" s="564"/>
      <c r="C13" s="565"/>
      <c r="D13" s="566"/>
      <c r="E13" s="566"/>
      <c r="F13" s="343"/>
      <c r="G13" s="335"/>
      <c r="H13" s="350"/>
      <c r="I13" s="567">
        <f>('Weap Enchants'!X3+Q33)</f>
        <v>27.290231355562383</v>
      </c>
      <c r="J13" s="568">
        <f>I13</f>
        <v>27.290231355562383</v>
      </c>
      <c r="K13" s="109"/>
      <c r="L13" s="66" t="s">
        <v>1199</v>
      </c>
      <c r="M13" s="75">
        <f>ohavg</f>
        <v>100.5</v>
      </c>
      <c r="O13" s="66" t="s">
        <v>1200</v>
      </c>
      <c r="Q13" s="68">
        <f>(IF(ohtype="Sword",talSwSpcFac,0))+IF(oh="blinkstrike",0.02,0)</f>
        <v>0.05</v>
      </c>
      <c r="R13" s="900">
        <f>(1-D19-D20)*Q13</f>
        <v>4.897804878048781E-2</v>
      </c>
    </row>
    <row r="14" spans="1:21" ht="12.75" customHeight="1">
      <c r="A14" s="508" t="s">
        <v>1198</v>
      </c>
      <c r="B14" s="331"/>
      <c r="C14" s="332"/>
      <c r="D14" s="347"/>
      <c r="E14" s="347"/>
      <c r="F14" s="344"/>
      <c r="G14" s="336"/>
      <c r="H14" s="351"/>
      <c r="I14" s="348">
        <f>'Weap Enchants'!X5*tlMURfac*IF(Talents!O36="No",(1+'Gear &amp; Buffs'!B106*0.01*'Gear &amp; Buffs'!C106),1)</f>
        <v>79.110112401040908</v>
      </c>
      <c r="J14" s="509">
        <f>I14</f>
        <v>79.110112401040908</v>
      </c>
      <c r="L14" s="66" t="s">
        <v>1202</v>
      </c>
      <c r="M14" s="66">
        <f>ohspd</f>
        <v>1.4</v>
      </c>
      <c r="O14" s="76" t="s">
        <v>1203</v>
      </c>
      <c r="Q14" s="77">
        <f>bMHhsec+G3</f>
        <v>0.60118092550473101</v>
      </c>
      <c r="T14" s="66" t="s">
        <v>3101</v>
      </c>
      <c r="U14" s="1339">
        <v>0.25</v>
      </c>
    </row>
    <row r="15" spans="1:21" ht="13.5" thickBot="1">
      <c r="A15" s="512" t="s">
        <v>1201</v>
      </c>
      <c r="B15" s="333"/>
      <c r="C15" s="334"/>
      <c r="D15" s="352"/>
      <c r="E15" s="352"/>
      <c r="F15" s="353"/>
      <c r="G15" s="339"/>
      <c r="H15" s="354"/>
      <c r="I15" s="355">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10">
        <f>I15</f>
        <v>0</v>
      </c>
      <c r="Q15" s="78"/>
    </row>
    <row r="16" spans="1:21" ht="13.5" thickBot="1">
      <c r="A16" s="513" t="s">
        <v>1204</v>
      </c>
      <c r="B16" s="514"/>
      <c r="C16" s="515"/>
      <c r="D16" s="516"/>
      <c r="E16" s="516"/>
      <c r="F16" s="517"/>
      <c r="G16" s="518"/>
      <c r="H16" s="519"/>
      <c r="I16" s="1316">
        <f>SUM(I2:I15)</f>
        <v>1999.989011355666</v>
      </c>
      <c r="J16" s="1317">
        <f>SUM(J2:J15)</f>
        <v>1555.182530256119</v>
      </c>
      <c r="O16" s="76" t="s">
        <v>1205</v>
      </c>
      <c r="Q16" s="77">
        <f>bOHhsec+G6+G7</f>
        <v>1.1164788616516437</v>
      </c>
      <c r="T16" s="15" t="s">
        <v>3113</v>
      </c>
      <c r="U16" s="652">
        <f>IF(numPhysDps=0,0,10/35*10/(2*numPhysDps))</f>
        <v>0.14285714285714285</v>
      </c>
    </row>
    <row r="17" spans="1:21">
      <c r="O17" s="76" t="s">
        <v>2251</v>
      </c>
      <c r="Q17" s="80">
        <f>instsec</f>
        <v>0.30886886428081306</v>
      </c>
      <c r="R17" s="652">
        <f>1/Q17</f>
        <v>3.2376199599414268</v>
      </c>
    </row>
    <row r="18" spans="1:21">
      <c r="A18" s="79" t="s">
        <v>1206</v>
      </c>
      <c r="B18" s="79"/>
      <c r="C18" s="79" t="s">
        <v>419</v>
      </c>
      <c r="D18" s="79"/>
      <c r="E18" s="79" t="str">
        <f>"Hit Table - "&amp;instatklng</f>
        <v>Hit Table - Sinister Strike</v>
      </c>
      <c r="F18" s="79"/>
      <c r="G18" s="67"/>
      <c r="J18" s="340" t="s">
        <v>108</v>
      </c>
      <c r="O18" s="66" t="s">
        <v>2252</v>
      </c>
      <c r="Q18" s="78">
        <f>evisec+rupsec+envsec</f>
        <v>6.4249278896646056E-2</v>
      </c>
      <c r="R18" s="652">
        <f>Q17+Q18</f>
        <v>0.37311814317745912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0.16659794784524692</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2.2573758781790807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3.2376199599414268</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0.22111169225206101</v>
      </c>
      <c r="C23" s="66" t="s">
        <v>1188</v>
      </c>
      <c r="D23" s="68">
        <f>MIN((1-D19-D20-D21-D22),(M8)-IF(mhtype="dagger",Talents!$F$24/100,0)-IF(mhtype="fist",Talents!$F$29/100,0)+IF(ohtype="dagger",Talents!$F$24/100,0)+IF(ohtype="fist",Talents!$F$29/100,0))</f>
        <v>0.22111169225206101</v>
      </c>
      <c r="E23" s="66" t="s">
        <v>1188</v>
      </c>
      <c r="F23" s="72">
        <f>MIN(1,(M8+IF(instatk="bs",impBS,0)+IF(instatk="mut",impBS/2,0)))*(1-F19-F20-F21)+Q30</f>
        <v>0.21668945840701978</v>
      </c>
      <c r="H23" s="68"/>
      <c r="J23" s="66" t="s">
        <v>1188</v>
      </c>
      <c r="K23" s="68">
        <f>MIN(1,(M8))*(1-K19-K20-K21)+Q29</f>
        <v>0.22111169225206101</v>
      </c>
      <c r="L23" s="73"/>
      <c r="O23" s="66" t="s">
        <v>1751</v>
      </c>
      <c r="P23" s="70"/>
      <c r="Q23" s="70">
        <f>2*IF(AND('Gear &amp; Buffs'!B28="Relentless Earthstorm Diamond (12agi/3%crit dam)",MID('Gear &amp; Buffs'!R26,7,1)="1",Socket!S110),1.03,1)*IF(mhtype="mace",Talents!F26/100+1,1)</f>
        <v>2.06</v>
      </c>
      <c r="R23" s="71"/>
    </row>
    <row r="24" spans="1:21">
      <c r="A24" s="66" t="s">
        <v>1186</v>
      </c>
      <c r="B24" s="68">
        <f>(1-B19-B20-B21-B22-B23)</f>
        <v>0.51844928335769502</v>
      </c>
      <c r="C24" s="66" t="s">
        <v>1186</v>
      </c>
      <c r="D24" s="68">
        <f>(1-D19-D20-D21-D22-D23)</f>
        <v>0.51844928335769502</v>
      </c>
      <c r="E24" s="66" t="s">
        <v>1186</v>
      </c>
      <c r="F24" s="72">
        <f>(1-F19-F20-F21-F23)</f>
        <v>0.76331054159298017</v>
      </c>
      <c r="H24" s="68"/>
      <c r="J24" s="66" t="s">
        <v>1186</v>
      </c>
      <c r="K24" s="72">
        <f>(1-K19-K20-K21-K23)</f>
        <v>0.77888830774793893</v>
      </c>
      <c r="O24" s="66" t="s">
        <v>589</v>
      </c>
      <c r="Q24" s="66">
        <f>2*IF(AND('Gear &amp; Buffs'!B28="Relentless Earthstorm Diamond (12agi/3%crit dam)",MID('Gear &amp; Buffs'!R26,7,1)="1",Socket!S110),1.03,1)*IF(ohtype="mace",Talents!F26/100+1,1)</f>
        <v>2.06</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8" t="s">
        <v>1895</v>
      </c>
      <c r="B30" s="69">
        <f>tlMURfac*(1+Ferocious*0.01*Ferociousimp*0.94*disablebuffs)*(1+bloodfrenzy*0.02*bloodfrenzyimp*disablebuffs)*(1+'Gear &amp; Buffs'!B106*0.01*'Gear &amp; Buffs'!C106*disablebuffs)</f>
        <v>1.0608</v>
      </c>
      <c r="J30"/>
      <c r="K30" s="898"/>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8"/>
      <c r="O31" s="66" t="s">
        <v>1360</v>
      </c>
      <c r="Q31" s="73">
        <f>(Q14+Q19)*B23/(1-B19-B20)+Q16*D23/(1-D19-D20)+Q17*F23/(1-F20)*(IF(instatk="mut",2,1)+Q18*K23/(1-K19))</f>
        <v>0.49458936445297341</v>
      </c>
    </row>
    <row r="32" spans="1:21">
      <c r="J32"/>
      <c r="K32" s="898"/>
      <c r="Q32" s="68"/>
      <c r="R32" s="85"/>
    </row>
    <row r="33" spans="1:18">
      <c r="A33" s="356" t="s">
        <v>432</v>
      </c>
      <c r="B33" s="356"/>
      <c r="J33"/>
      <c r="K33" s="898"/>
      <c r="O33" s="66" t="s">
        <v>2253</v>
      </c>
      <c r="Q33" s="73">
        <f>'Weap Enchants'!W22</f>
        <v>27.290231355562383</v>
      </c>
    </row>
    <row r="34" spans="1:18">
      <c r="A34" s="65" t="s">
        <v>57</v>
      </c>
      <c r="B34" s="1350">
        <f>MAX(BaseDodPerc-IF(AND('Gear &amp; Buffs'!B74="Human",OR(mhtype="Sword",mhtype="Mace")),1.25%,0)-'Gear &amp; Buffs'!L75/skillrate*0.25%,0)</f>
        <v>2.7500000000000004E-2</v>
      </c>
      <c r="C34" s="1349">
        <f>CEILING(B34/0.25%*skillrate,1)</f>
        <v>44</v>
      </c>
      <c r="D34" s="1349">
        <f>C34-'Gear &amp; Buffs'!L143+'Gear &amp; Buffs'!L75</f>
        <v>30</v>
      </c>
      <c r="J34"/>
      <c r="K34" s="898"/>
      <c r="O34" s="66" t="s">
        <v>1364</v>
      </c>
      <c r="Q34" s="66">
        <f>IF(OR(trinket1="Romulo's Poison Vial",trinket2="Romulo's Poison Vial"),L47*K47*277*fullresist*(1+(0.01*miseryimp)*misery)*(1+(thunderfury*thunderfurydps)),0)</f>
        <v>0</v>
      </c>
    </row>
    <row r="35" spans="1:18">
      <c r="A35" s="356" t="s">
        <v>58</v>
      </c>
      <c r="B35" s="68">
        <f>MAX(BaseDodPerc-IF(AND('Gear &amp; Buffs'!B74="Human",OR(ohtype="Sword",ohtype="Mace")),1.25%,0)-'Gear &amp; Buffs'!L75/skillrate*0.25%,0)</f>
        <v>2.7500000000000004E-2</v>
      </c>
      <c r="C35" s="70">
        <f>CEILING(B34/0.25%*skillrate,1)</f>
        <v>44</v>
      </c>
      <c r="D35" s="70">
        <f>C35-'Gear &amp; Buffs'!L143+'Gear &amp; Buffs'!L75</f>
        <v>30</v>
      </c>
      <c r="J35"/>
      <c r="K35" s="898"/>
    </row>
    <row r="36" spans="1:18">
      <c r="J36"/>
      <c r="K36" s="898"/>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1.2283946448524035</v>
      </c>
    </row>
    <row r="40" spans="1:18">
      <c r="A40" s="376" t="s">
        <v>2986</v>
      </c>
      <c r="B40" s="361"/>
      <c r="C40" s="361"/>
      <c r="D40" s="362"/>
      <c r="G40" s="360" t="s">
        <v>1132</v>
      </c>
      <c r="H40" s="361"/>
      <c r="I40" s="361"/>
      <c r="J40" s="361"/>
      <c r="K40" s="361"/>
      <c r="L40" s="361" t="s">
        <v>2304</v>
      </c>
      <c r="M40" s="362"/>
      <c r="Q40" s="68"/>
    </row>
    <row r="41" spans="1:18">
      <c r="A41" s="377"/>
      <c r="B41" s="378" t="s">
        <v>2175</v>
      </c>
      <c r="C41" s="378"/>
      <c r="D41" s="379"/>
      <c r="G41" s="363"/>
      <c r="H41" s="160" t="s">
        <v>1186</v>
      </c>
      <c r="I41" s="160" t="s">
        <v>2297</v>
      </c>
      <c r="J41" s="160" t="s">
        <v>2298</v>
      </c>
      <c r="K41" s="160" t="s">
        <v>505</v>
      </c>
      <c r="L41" s="160" t="s">
        <v>2305</v>
      </c>
      <c r="M41" s="364" t="s">
        <v>2306</v>
      </c>
      <c r="O41" s="66" t="s">
        <v>1368</v>
      </c>
      <c r="Q41" s="68">
        <f>(I2+I5+I3+I6)*Q39/(I2+I5)-1</f>
        <v>0.59568464366327234</v>
      </c>
    </row>
    <row r="42" spans="1:18">
      <c r="A42" s="377" t="s">
        <v>2033</v>
      </c>
      <c r="B42" s="380">
        <f>IF(tlSwSMH,tlSwSea,0)</f>
        <v>0.05</v>
      </c>
      <c r="C42" s="381">
        <f>B42*bMHthit*(bMHasec+F3+instsec+Q18+D46)</f>
        <v>4.8333644892667185E-2</v>
      </c>
      <c r="D42" s="382">
        <f>$A$61</f>
        <v>5.8774234634357554E-2</v>
      </c>
      <c r="G42" s="363" t="s">
        <v>57</v>
      </c>
      <c r="H42" s="162">
        <f>bMHthit</f>
        <v>0.97956097560975608</v>
      </c>
      <c r="I42" s="161">
        <f>SUM($F$2:$F$4)</f>
        <v>0.93506381198846156</v>
      </c>
      <c r="J42" s="161">
        <f t="shared" ref="J42:J49" si="2">1/I42</f>
        <v>1.0694457289213752</v>
      </c>
      <c r="K42" s="161">
        <f>SUM($G$2:$G$4)</f>
        <v>0.76777887334997796</v>
      </c>
      <c r="L42" s="162">
        <f>MHspd/60*H42</f>
        <v>4.2447642276422767E-2</v>
      </c>
      <c r="M42" s="365">
        <f>1/L42/I42</f>
        <v>25.194467149837223</v>
      </c>
      <c r="O42" s="66" t="s">
        <v>1440</v>
      </c>
      <c r="Q42" s="26">
        <f>serrb*8*70/3+435*Weapons!$H$330+'Gear &amp; Buffs'!Q143</f>
        <v>4010</v>
      </c>
    </row>
    <row r="43" spans="1:18">
      <c r="A43" s="377" t="s">
        <v>2032</v>
      </c>
      <c r="B43" s="380">
        <f>IF(tlSwSOH,tlSwSea,0)</f>
        <v>0.05</v>
      </c>
      <c r="C43" s="381"/>
      <c r="D43" s="382">
        <f>$B$43*(bOHhsec+$G$6+$G$7)</f>
        <v>5.5823943082582185E-2</v>
      </c>
      <c r="G43" s="363" t="s">
        <v>58</v>
      </c>
      <c r="H43" s="162">
        <f>bOHthit</f>
        <v>0.97956097560975608</v>
      </c>
      <c r="I43" s="161">
        <f>SUM($F$5:$F$7)</f>
        <v>1.1397747454737659</v>
      </c>
      <c r="J43" s="161">
        <f t="shared" si="2"/>
        <v>0.87736634275427272</v>
      </c>
      <c r="K43" s="161">
        <f>SUM($G$5:$G$7)</f>
        <v>1.1164788616516437</v>
      </c>
      <c r="L43" s="162">
        <f>ohspd/60*H43</f>
        <v>2.2856422764227641E-2</v>
      </c>
      <c r="M43" s="365">
        <f>1/L43/I43</f>
        <v>38.38598681012455</v>
      </c>
      <c r="O43" s="66" t="s">
        <v>527</v>
      </c>
      <c r="Q43" s="26">
        <f>MAX(basearmor-Q42,0)</f>
        <v>3675</v>
      </c>
    </row>
    <row r="44" spans="1:18">
      <c r="A44" s="377" t="s">
        <v>2034</v>
      </c>
      <c r="B44" s="894">
        <f>IF(itBsMH,itBsEa,0)</f>
        <v>4.3333333333333335E-2</v>
      </c>
      <c r="C44" s="381">
        <f>B44*bMHthit*(bMHasec+F3+instsec+Q18+D43+D46)</f>
        <v>4.4258753673407057E-2</v>
      </c>
      <c r="D44" s="382">
        <f>$B$61</f>
        <v>5.3602667810854189E-2</v>
      </c>
      <c r="G44" s="363" t="s">
        <v>2232</v>
      </c>
      <c r="H44" s="162">
        <f>$F$25</f>
        <v>0.98</v>
      </c>
      <c r="I44" s="161">
        <f>K44/$F$25</f>
        <v>0.31517231049062555</v>
      </c>
      <c r="J44" s="161">
        <f>IF(I44=0,0,1/I44)</f>
        <v>3.1728675607425987</v>
      </c>
      <c r="K44" s="161">
        <f>IF(instatk="v",0,instsec)</f>
        <v>0.30886886428081306</v>
      </c>
      <c r="L44" s="162">
        <f>MHspd/60*H44</f>
        <v>4.2466666666666666E-2</v>
      </c>
      <c r="M44" s="365">
        <f>IF(I44=0,0,1/L44/I44)</f>
        <v>74.714306767879094</v>
      </c>
    </row>
    <row r="45" spans="1:18">
      <c r="A45" s="377" t="s">
        <v>2982</v>
      </c>
      <c r="B45" s="894">
        <f>itHoJ</f>
        <v>0</v>
      </c>
      <c r="C45" s="381">
        <f>B45*bMHthit*(bMHasec+F3+instsec+Q18+D43)</f>
        <v>0</v>
      </c>
      <c r="D45" s="382">
        <f>$D$61</f>
        <v>0</v>
      </c>
      <c r="G45" s="363" t="s">
        <v>2233</v>
      </c>
      <c r="H45" s="162">
        <f>$F$25</f>
        <v>0.98</v>
      </c>
      <c r="I45" s="161">
        <f>K45/$F$25</f>
        <v>0</v>
      </c>
      <c r="J45" s="161">
        <f>IF(I45=0,0,1/I45)</f>
        <v>0</v>
      </c>
      <c r="K45" s="161">
        <f>IF(OR(instatk="v",instatk="mut"),instsec,0)</f>
        <v>0</v>
      </c>
      <c r="L45" s="162">
        <f>ohspd/60*H45</f>
        <v>2.2866666666666664E-2</v>
      </c>
      <c r="M45" s="365">
        <f>IF(I45=0,0,1/L45/I45)</f>
        <v>0</v>
      </c>
      <c r="O45" s="66" t="s">
        <v>528</v>
      </c>
      <c r="Q45" s="66">
        <f>IF(OR(trinket1="Darkmoon Card: Vengeance",trinket2="Darkmoon Card: Vengeance"),0.1*Q20*105*fullresist,0)</f>
        <v>0</v>
      </c>
      <c r="R45" s="66" t="s">
        <v>1753</v>
      </c>
    </row>
    <row r="46" spans="1:18">
      <c r="A46" s="377" t="s">
        <v>2983</v>
      </c>
      <c r="B46" s="894">
        <f>itHoJ</f>
        <v>0</v>
      </c>
      <c r="C46" s="381"/>
      <c r="D46" s="382">
        <f>$B$46*(bOHhsec+$G$6+$G$7)</f>
        <v>0</v>
      </c>
      <c r="F46" s="357"/>
      <c r="G46" s="363" t="s">
        <v>2300</v>
      </c>
      <c r="H46" s="162">
        <f>$K$25</f>
        <v>1</v>
      </c>
      <c r="I46" s="161">
        <f>K46/$K$25</f>
        <v>6.4249278896646056E-2</v>
      </c>
      <c r="J46" s="161">
        <f>IF(I46=0,0,1/I46)</f>
        <v>15.564377019836126</v>
      </c>
      <c r="K46" s="161">
        <f>$Q$18</f>
        <v>6.4249278896646056E-2</v>
      </c>
      <c r="L46" s="162">
        <f>MHspd/60*H46</f>
        <v>4.3333333333333335E-2</v>
      </c>
      <c r="M46" s="365">
        <f>IF(I46=0,0,1/L46/I46)</f>
        <v>359.17793122698748</v>
      </c>
      <c r="O46" s="66" t="s">
        <v>529</v>
      </c>
      <c r="Q46" s="73">
        <f>IF(mh="Syphon of the Nathrezim",IF(oh="Syphon of the Nathrezim",itSypBHup,itSypMHup),IF(oh="Syphon of the Nathrezim",itSypOHup,0))*(Q20*20)*fullresist*(1+(0.01*miseryimp)*misery)</f>
        <v>0</v>
      </c>
      <c r="R46" s="66" t="s">
        <v>1753</v>
      </c>
    </row>
    <row r="47" spans="1:18">
      <c r="A47" s="377" t="s">
        <v>521</v>
      </c>
      <c r="B47" s="380">
        <f>IF(Talents!O36="No",IF(mhtemp="Windfury",20%,0),0)</f>
        <v>0.2</v>
      </c>
      <c r="C47" s="381">
        <f>B47*bMHthit*(bMHasec+F3+D43+D46)</f>
        <v>0.13117277633061775</v>
      </c>
      <c r="D47" s="382">
        <f>$C$61</f>
        <v>0.15313810351325544</v>
      </c>
      <c r="G47" s="366" t="s">
        <v>2301</v>
      </c>
      <c r="H47" s="359">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4">
        <f>1/(1/M42+1/M43+IF(M44=0,0,1/M44)+IF(M45=0,0,1/M45)+IF(M46=0,0,1/M46))</f>
        <v>12.208390311723463</v>
      </c>
      <c r="O47" s="66" t="s">
        <v>1335</v>
      </c>
      <c r="Q47" s="652">
        <f>IF(Talents!O36="No",IF('Gear &amp; Buffs'!$B138=1,(60-IF(CharLevel&gt;60,(CharLevel-60)*2,0))*IF(time=0,1/300,totalTeaIter/time), 0),0)</f>
        <v>0.13333333333333333</v>
      </c>
      <c r="R47" s="66" t="s">
        <v>814</v>
      </c>
    </row>
    <row r="48" spans="1:18">
      <c r="A48" s="383" t="s">
        <v>1895</v>
      </c>
      <c r="B48" s="378"/>
      <c r="C48" s="378"/>
      <c r="D48" s="384">
        <f>SUM($D$42:$D$47)</f>
        <v>0.32133894904104937</v>
      </c>
      <c r="G48" s="366" t="s">
        <v>2302</v>
      </c>
      <c r="H48" s="359">
        <f>(H42*I42+H44*I44+H46*I46)/I48</f>
        <v>0.98066525634831736</v>
      </c>
      <c r="I48" s="161">
        <f>I42+I44+I46</f>
        <v>1.314485401375733</v>
      </c>
      <c r="J48" s="161">
        <f t="shared" si="2"/>
        <v>0.76075397943058598</v>
      </c>
      <c r="K48" s="161">
        <f>I48*H48</f>
        <v>1.289070163106254</v>
      </c>
      <c r="L48" s="162">
        <f>(L42*I42+L44*I44+L46*I46)/I48</f>
        <v>4.2495494441760422E-2</v>
      </c>
      <c r="M48" s="364">
        <f>1/(1/M42+IF(M44=0,0,1/M44)+IF(M46=0,0,1/M46))</f>
        <v>17.901991479901252</v>
      </c>
      <c r="O48" s="66" t="s">
        <v>813</v>
      </c>
      <c r="Q48" s="73">
        <f>IF(mh="Rod of the Sun King",(Optimize!C25*10),IF(oh="Rod of the Sun King",(Optimize!C26*10),0))</f>
        <v>0</v>
      </c>
      <c r="R48" s="66" t="s">
        <v>814</v>
      </c>
    </row>
    <row r="49" spans="1:21">
      <c r="A49" s="377"/>
      <c r="B49" s="160"/>
      <c r="C49" s="160"/>
      <c r="D49" s="364"/>
      <c r="G49" s="366" t="s">
        <v>2303</v>
      </c>
      <c r="H49" s="359">
        <f>(H43*I43+H45*I45)/I49</f>
        <v>0.97956097560975597</v>
      </c>
      <c r="I49" s="161">
        <f>I43+I45</f>
        <v>1.1397747454737659</v>
      </c>
      <c r="J49" s="161">
        <f t="shared" si="2"/>
        <v>0.87736634275427272</v>
      </c>
      <c r="K49" s="161">
        <f>K43+K45</f>
        <v>1.1164788616516437</v>
      </c>
      <c r="L49" s="162">
        <f>(L43*I43+L45*I45)/I49</f>
        <v>2.2856422764227641E-2</v>
      </c>
      <c r="M49" s="364">
        <f>1/(1/M43+IF(M45=0,0,1/M45))</f>
        <v>38.38598681012455</v>
      </c>
      <c r="O49" s="66" t="s">
        <v>1336</v>
      </c>
      <c r="Q49" s="66">
        <f>IF(Talents!O36="No",IF('Gear &amp; Buffs'!$B139=1,(Q20*0.004*40),0)*IF(CoE,1.25,1)*(1+(0.01*miseryimp)*misery),0)</f>
        <v>0</v>
      </c>
      <c r="R49" s="66" t="s">
        <v>1753</v>
      </c>
    </row>
    <row r="50" spans="1:21">
      <c r="A50" s="385" t="s">
        <v>1100</v>
      </c>
      <c r="B50" s="378" t="s">
        <v>1101</v>
      </c>
      <c r="C50" s="378" t="s">
        <v>1102</v>
      </c>
      <c r="D50" s="379" t="s">
        <v>2984</v>
      </c>
      <c r="G50" s="363"/>
      <c r="H50" s="160"/>
      <c r="I50" s="160"/>
      <c r="J50" s="160"/>
      <c r="K50" s="160"/>
      <c r="L50" s="160"/>
      <c r="M50" s="364"/>
    </row>
    <row r="51" spans="1:21">
      <c r="A51" s="386">
        <f>$C$42</f>
        <v>4.8333644892667185E-2</v>
      </c>
      <c r="B51" s="387">
        <f>$C$44</f>
        <v>4.4258753673407057E-2</v>
      </c>
      <c r="C51" s="387">
        <f>$C$47</f>
        <v>0.13117277633061775</v>
      </c>
      <c r="D51" s="895">
        <f>$C$45</f>
        <v>0</v>
      </c>
      <c r="G51" s="366" t="s">
        <v>1133</v>
      </c>
      <c r="H51" s="160"/>
      <c r="I51" s="160"/>
      <c r="J51" s="160"/>
      <c r="K51" s="160"/>
      <c r="L51" s="160" t="s">
        <v>2304</v>
      </c>
      <c r="M51" s="364"/>
      <c r="O51" s="66" t="s">
        <v>2410</v>
      </c>
      <c r="Q51" s="652">
        <f>IF(bs4p, Optimize!C53, 0)</f>
        <v>0</v>
      </c>
      <c r="R51" s="66" t="s">
        <v>814</v>
      </c>
    </row>
    <row r="52" spans="1:21">
      <c r="A52" s="386">
        <f>$B$42*bMHthit*$C$44/(1-$C$44*$C$47*$C$45*bMHthit^3)</f>
        <v>2.1677073963797247E-3</v>
      </c>
      <c r="B52" s="387">
        <f>$B$44*bMHthit*$C$42/(1-$C$42*$C$47*$C$45*bMHthit^3)</f>
        <v>2.0516492683195849E-3</v>
      </c>
      <c r="C52" s="387">
        <f>$B$47*bMHthit*$C$42/(1-$C$42*$C$44*$C$45*bMHthit^3)</f>
        <v>9.4691504691673152E-3</v>
      </c>
      <c r="D52" s="895">
        <f>$B$45*bMHthit*$C$42/(1-$C$42*$C$44*$C$47*bMHthit^3)</f>
        <v>0</v>
      </c>
      <c r="G52" s="363"/>
      <c r="H52" s="160" t="s">
        <v>1188</v>
      </c>
      <c r="I52" s="160" t="s">
        <v>2297</v>
      </c>
      <c r="J52" s="160" t="s">
        <v>2298</v>
      </c>
      <c r="K52" s="160" t="s">
        <v>2310</v>
      </c>
      <c r="L52" s="160" t="s">
        <v>2305</v>
      </c>
      <c r="M52" s="364" t="s">
        <v>2306</v>
      </c>
      <c r="O52" s="66" t="s">
        <v>2411</v>
      </c>
      <c r="Q52" s="652">
        <f>IF(bs8p, 0.05*(D8-E8)*(5*evisec), 0)</f>
        <v>0</v>
      </c>
      <c r="R52" s="66" t="s">
        <v>1753</v>
      </c>
    </row>
    <row r="53" spans="1:21">
      <c r="A53" s="386">
        <f>$B$42*bMHthit*$C$45/(1-$C$44*$C$47*$C$45*bMHthit^3)</f>
        <v>0</v>
      </c>
      <c r="B53" s="387">
        <f>$B$44*bMHthit*$C$45/(1-$C$42*$C$47*$C$45*bMHthit^3)</f>
        <v>0</v>
      </c>
      <c r="C53" s="387">
        <f>$B$47*bMHthit*$C$45/(1-$C$42*$C$44*$C$45*bMHthit^3)</f>
        <v>0</v>
      </c>
      <c r="D53" s="895">
        <f>$B$45*bMHthit*$C$44/(1-$C$42*$C$44*$C$47*bMHthit^3)</f>
        <v>0</v>
      </c>
      <c r="G53" s="363" t="s">
        <v>57</v>
      </c>
      <c r="H53" s="162">
        <f>bMHcrit</f>
        <v>0.22111169225206101</v>
      </c>
      <c r="I53" s="161">
        <f>I42</f>
        <v>0.93506381198846156</v>
      </c>
      <c r="J53" s="161">
        <f>1/I53</f>
        <v>1.0694457289213752</v>
      </c>
      <c r="K53" s="161">
        <f>I53*H53</f>
        <v>0.20675354183243175</v>
      </c>
      <c r="L53" s="162">
        <f>MHspd/60*H53</f>
        <v>9.5815066642559767E-3</v>
      </c>
      <c r="M53" s="365">
        <f>1/L53/I53</f>
        <v>111.61561186519509</v>
      </c>
      <c r="Q53" s="652"/>
    </row>
    <row r="54" spans="1:21">
      <c r="A54" s="386">
        <f>$B$42*bMHthit*$C$47/(1-$C$44*$C$47*$C$45*bMHthit^3)</f>
        <v>6.4245866377930123E-3</v>
      </c>
      <c r="B54" s="387">
        <f>$B$44*bMHthit*$C$47/(1-$C$42*$C$47*$C$45*bMHthit^3)</f>
        <v>5.5679750860872772E-3</v>
      </c>
      <c r="C54" s="387">
        <f>$B$47*bMHthit*$C$44/(1-$C$42*$C$44*$C$45*bMHthit^3)</f>
        <v>8.6708295855188987E-3</v>
      </c>
      <c r="D54" s="895">
        <f>$B$45*bMHthit*$C$47/(1-$C$42*$C$44*$C$47*bMHthit^3)</f>
        <v>0</v>
      </c>
      <c r="G54" s="363" t="s">
        <v>58</v>
      </c>
      <c r="H54" s="162">
        <f>bOHcrit</f>
        <v>0.22111169225206101</v>
      </c>
      <c r="I54" s="161">
        <f>I43</f>
        <v>1.1397747454737659</v>
      </c>
      <c r="J54" s="161">
        <f>1/I54</f>
        <v>0.87736634275427272</v>
      </c>
      <c r="K54" s="161">
        <f>I54*H54</f>
        <v>0.25201752275786649</v>
      </c>
      <c r="L54" s="162">
        <f>ohspd/60*H54</f>
        <v>5.1592728192147563E-3</v>
      </c>
      <c r="M54" s="365">
        <f>1/L54/I54</f>
        <v>170.05620239478017</v>
      </c>
    </row>
    <row r="55" spans="1:21">
      <c r="A55" s="386">
        <f>$B$42*bMHthit*$B$44*bMHthit*$C$45/(1-$C$44*$C$47*$C$45*bMHthit^3)</f>
        <v>0</v>
      </c>
      <c r="B55" s="387">
        <f>$B$44*bMHthit*$B$42*bMHthit*$C$45/(1-$C$42*$C$47*$C$45*bMHthit^3)</f>
        <v>0</v>
      </c>
      <c r="C55" s="387">
        <f>$B$47*bMHthit*$B$42*bMHthit*$C$44/(1-$C$42*$C$44*$C$45*bMHthit^3)</f>
        <v>4.2468031440684158E-4</v>
      </c>
      <c r="D55" s="895">
        <f>$B$45*bMHthit*$B$42*bMHthit*$C$44/(1-$C$42*$C$44*$C$47*bMHthit^3)</f>
        <v>0</v>
      </c>
      <c r="G55" s="363" t="s">
        <v>2232</v>
      </c>
      <c r="H55" s="162">
        <f>instcrit</f>
        <v>0.21668945840701978</v>
      </c>
      <c r="I55" s="161">
        <f>I44</f>
        <v>0.31517231049062555</v>
      </c>
      <c r="J55" s="161">
        <f>IF(I55=0,0,1/I55)</f>
        <v>3.1728675607425987</v>
      </c>
      <c r="K55" s="161">
        <f>I55*H55</f>
        <v>6.829451726510273E-2</v>
      </c>
      <c r="L55" s="162">
        <f>MHspd/60*H55</f>
        <v>9.3898765309708577E-3</v>
      </c>
      <c r="M55" s="365">
        <f>IF(I55=0,0,1/L55/I55)</f>
        <v>337.90301185297295</v>
      </c>
      <c r="Q55" s="78"/>
    </row>
    <row r="56" spans="1:21">
      <c r="A56" s="386">
        <f>$B$42*bMHthit*$B$44*bMHthit*$C$47/(1-$C$44*$C$47*$C$45*bMHthit^3)</f>
        <v>2.7270855537492349E-4</v>
      </c>
      <c r="B56" s="387">
        <f>$B$44*bMHthit*$B$42*bMHthit*$C$47/(1-$C$42*$C$47*$C$45*bMHthit^3)</f>
        <v>2.7270855537492349E-4</v>
      </c>
      <c r="C56" s="387">
        <f>$B$47*bMHthit*$B$42*bMHthit*$C$45/(1-$C$42*$C$44*$C$45*bMHthit^3)</f>
        <v>0</v>
      </c>
      <c r="D56" s="895">
        <f>$B$45*bMHthit*$B$42*bMHthit*$C$47/(1-$C$42*$C$44*$C$47*bMHthit^3)</f>
        <v>0</v>
      </c>
      <c r="G56" s="363" t="s">
        <v>2233</v>
      </c>
      <c r="H56" s="162">
        <f>instcrit</f>
        <v>0.21668945840701978</v>
      </c>
      <c r="I56" s="161">
        <f>I45</f>
        <v>0</v>
      </c>
      <c r="J56" s="161">
        <f>IF(I56=0,0,1/I56)</f>
        <v>0</v>
      </c>
      <c r="K56" s="161">
        <f>I56*H56</f>
        <v>0</v>
      </c>
      <c r="L56" s="162">
        <f>ohspd/60*H56</f>
        <v>5.0560873628304609E-3</v>
      </c>
      <c r="M56" s="365">
        <f>IF(I56=0,0,1/L56/I56)</f>
        <v>0</v>
      </c>
      <c r="R56" s="73"/>
    </row>
    <row r="57" spans="1:21">
      <c r="A57" s="386">
        <f>$B$42*bMHthit*$B$45*bMHthit*$C$44/(1-$C$44*$C$47*$C$45*bMHthit^3)</f>
        <v>0</v>
      </c>
      <c r="B57" s="387">
        <f>$B$44*bMHthit*$B$45*bMHthit*$C$42/(1-$C$42*$C$47*$C$45*bMHthit^3)</f>
        <v>0</v>
      </c>
      <c r="C57" s="387">
        <f>$B$47*bMHthit*$B$44*bMHthit*$C$42/(1-$C$42*$C$44*$C$45*bMHthit^3)</f>
        <v>4.0194311177683506E-4</v>
      </c>
      <c r="D57" s="895">
        <f>$B$45*bMHthit*$B$44*bMHthit*$C$42/(1-$C$42*$C$44*$C$47*bMHthit^3)</f>
        <v>0</v>
      </c>
      <c r="G57" s="363" t="s">
        <v>2300</v>
      </c>
      <c r="H57" s="162">
        <f>fincrit</f>
        <v>0.22111169225206101</v>
      </c>
      <c r="I57" s="161">
        <f>I46</f>
        <v>6.4249278896646056E-2</v>
      </c>
      <c r="J57" s="161">
        <f>IF(I57=0,0,1/I57)</f>
        <v>15.564377019836126</v>
      </c>
      <c r="K57" s="161">
        <f>I57*H57</f>
        <v>1.4206266782812041E-2</v>
      </c>
      <c r="L57" s="162">
        <f>MHspd/60*H57</f>
        <v>9.5815066642559767E-3</v>
      </c>
      <c r="M57" s="365">
        <f>IF(I57=0,0,1/L57/I57)</f>
        <v>1624.4185351244789</v>
      </c>
    </row>
    <row r="58" spans="1:21">
      <c r="A58" s="386">
        <f>$B$42*bMHthit*$B$45*bMHthit*$C$47/(1-$C$44*$C$47*$C$45*bMHthit^3)</f>
        <v>0</v>
      </c>
      <c r="B58" s="387">
        <f>$B$44*bMHthit*$B$45*bMHthit*$C$47/(1-$C$42*$C$47*$C$45*bMHthit^3)</f>
        <v>0</v>
      </c>
      <c r="C58" s="387">
        <f>$B$47*bMHthit*$B$44*bMHthit*$C$45/(1-$C$42*$C$44*$C$45*bMHthit^3)</f>
        <v>0</v>
      </c>
      <c r="D58" s="895">
        <f>$B$45*bMHthit*$B$44*bMHthit*$C$47/(1-$C$42*$C$44*$C$47*bMHthit^3)</f>
        <v>0</v>
      </c>
      <c r="G58" s="366" t="s">
        <v>2301</v>
      </c>
      <c r="H58" s="359">
        <f>(H53*I53+H54*I54+H55*I55+H56*I56+H57*I57)/I58</f>
        <v>0.22054379578833011</v>
      </c>
      <c r="I58" s="161">
        <f>SUM(I53:I57)</f>
        <v>2.4542601468494989</v>
      </c>
      <c r="J58" s="161">
        <f>1/I58</f>
        <v>0.40745476851086332</v>
      </c>
      <c r="K58" s="161">
        <f>SUM(K53:K57)</f>
        <v>0.54127184863821298</v>
      </c>
      <c r="L58" s="162">
        <f>(I53*L53+I54*L54+I55*L55+I56*L56+I57*L57)/I58</f>
        <v>7.5031829895745514E-3</v>
      </c>
      <c r="M58" s="364">
        <f>1/(1/M53+1/M54+IF(M55=0,0,1/M55)+IF(M56=0,0,1/M56)+IF(M57=0,0,1/M57))</f>
        <v>54.304255817432356</v>
      </c>
    </row>
    <row r="59" spans="1:21">
      <c r="A59" s="386">
        <f>$B$42*bMHthit*$B$47*bMHthit*$C$44/(1-$C$44*$C$47*$C$45*bMHthit^3)</f>
        <v>4.2468031440684158E-4</v>
      </c>
      <c r="B59" s="387">
        <f>$B$44*bMHthit*$B$47*bMHthit*$C$42/(1-$C$42*$C$47*$C$45*bMHthit^3)</f>
        <v>4.0194311177683506E-4</v>
      </c>
      <c r="C59" s="387">
        <f>$B$47*bMHthit*$B$45*bMHthit*$C$42/(1-$C$42*$C$44*$C$45*bMHthit^3)</f>
        <v>0</v>
      </c>
      <c r="D59" s="895">
        <f>$B$45*bMHthit*$B$47*bMHthit*$C$42/(1-$C$42*$C$44*$C$47*bMHthit^3)</f>
        <v>0</v>
      </c>
      <c r="G59" s="366" t="s">
        <v>2302</v>
      </c>
      <c r="H59" s="359">
        <f>(H53*I53+H55*I55+H57*I57)/I59</f>
        <v>0.22005137948098519</v>
      </c>
      <c r="I59" s="161">
        <f>I53+I55+I57</f>
        <v>1.314485401375733</v>
      </c>
      <c r="J59" s="161">
        <f>1/I59</f>
        <v>0.76075397943058598</v>
      </c>
      <c r="K59" s="161">
        <f>I59*H59</f>
        <v>0.28925432588034655</v>
      </c>
      <c r="L59" s="162">
        <f>(L53*I53+L55*I55+L57*I57)/I59</f>
        <v>9.5355597775093563E-3</v>
      </c>
      <c r="M59" s="364">
        <f>1/(1/M53+IF(M55=0,0,1/M55)+IF(M57=0,0,1/M57))</f>
        <v>79.780736231647992</v>
      </c>
      <c r="Q59" s="68"/>
      <c r="R59" s="78"/>
    </row>
    <row r="60" spans="1:21" ht="13.5" thickBot="1">
      <c r="A60" s="386">
        <f>$B$42*bMHthit*$B$47*bMHthit*$C$45/(1-$C$44*$C$47*$C$45*bMHthit^3)</f>
        <v>0</v>
      </c>
      <c r="B60" s="387">
        <f>$B$44*bMHthit*$B$47*bMHthit*$C$45/(1-$C$42*$C$47*$C$45*bMHthit^3)</f>
        <v>0</v>
      </c>
      <c r="C60" s="387">
        <f>$B$47*bMHthit*$B$45*bMHthit*$C$44/(1-$C$42*$C$44*$C$45*bMHthit^3)</f>
        <v>0</v>
      </c>
      <c r="D60" s="895">
        <f>$B$45*bMHthit*$B$47*bMHthit*$C$44/(1-$C$42*$C$44*$C$47*bMHthit^3)</f>
        <v>0</v>
      </c>
      <c r="G60" s="367" t="s">
        <v>2303</v>
      </c>
      <c r="H60" s="368">
        <f>(H54*I54+H56*I56)/I60</f>
        <v>0.22111169225206101</v>
      </c>
      <c r="I60" s="369">
        <f>I54+I56</f>
        <v>1.1397747454737659</v>
      </c>
      <c r="J60" s="369">
        <f>1/I60</f>
        <v>0.87736634275427272</v>
      </c>
      <c r="K60" s="369">
        <f>K54+K56</f>
        <v>0.25201752275786649</v>
      </c>
      <c r="L60" s="370">
        <f>(L54*I54+L56*I56)/I60</f>
        <v>5.1592728192147563E-3</v>
      </c>
      <c r="M60" s="371">
        <f>1/(1/M54+IF(M56=0,0,1/M56))</f>
        <v>170.05620239478017</v>
      </c>
      <c r="Q60" s="68"/>
    </row>
    <row r="61" spans="1:21" ht="13.5" thickBot="1">
      <c r="A61" s="388">
        <f>SUM($A$51:$A$60)*(1-bMHthit^3*$B$44*$B$47*$B$45)/(1-(bMHthit^3*($B$42*$B$44+$B$44*$B$47+$B$42*$B$45+$B$44*$B$45+$B$45*$B$47+$B$42*$B$47+3*bMHthit^3*$B$42*$B$44*$B$45*$B$47)))</f>
        <v>5.8774234634357554E-2</v>
      </c>
      <c r="B61" s="389">
        <f>SUM($B$51:$B$60)*(1-bMHthit^3*$B$42*$B$47*$B$45)/(1-(bMHthit^3*($B$42*$B$44+$B$44*$B$47+$B$42*$B$45+$B$44*$B$45+$B$45*$B$47+$B$42*$B$47+3*bMHthit^3*$B$42*$B$44*$B$45*$B$47)))</f>
        <v>5.3602667810854189E-2</v>
      </c>
      <c r="C61" s="389">
        <f>SUM($C$51:$C$60)*(1-bMHthit^3*$B$44*$B$42*$B$45)/(1-(bMHthit^3*($B$42*$B$44+$B$44*$B$47+$B$42*$B$45+$B$44*$B$45+$B$45*$B$47+$B$42*$B$47+3*bMHthit^3*$B$42*$B$44*$B$45*$B$47)))</f>
        <v>0.15313810351325544</v>
      </c>
      <c r="D61" s="896">
        <f>SUM($D$51:$D$60)*(1-bMHthit^3*$B$44*$B$47*$B$42)/(1-(bMHthit^3*($B$42*$B$44+$B$44*$B$47+$B$42*$B$45+$B$44*$B$45+$B$45*$B$47+$B$42*$B$47+3*bMHthit^3*$B$42*$B$44*$B$45*$B$47)))</f>
        <v>0</v>
      </c>
      <c r="Q61" s="68"/>
      <c r="U61" s="206"/>
    </row>
    <row r="62" spans="1:21">
      <c r="C62" s="356"/>
      <c r="G62" s="360" t="s">
        <v>2985</v>
      </c>
      <c r="H62" s="361"/>
      <c r="I62" s="361"/>
      <c r="J62" s="361"/>
      <c r="K62" s="361"/>
      <c r="L62" s="361" t="s">
        <v>2304</v>
      </c>
      <c r="M62" s="362"/>
      <c r="Q62" s="68"/>
    </row>
    <row r="63" spans="1:21">
      <c r="C63" s="356"/>
      <c r="G63" s="363"/>
      <c r="H63" s="160" t="s">
        <v>1186</v>
      </c>
      <c r="I63" s="160" t="s">
        <v>2297</v>
      </c>
      <c r="J63" s="160" t="s">
        <v>2298</v>
      </c>
      <c r="K63" s="160" t="s">
        <v>505</v>
      </c>
      <c r="L63" s="160" t="s">
        <v>2305</v>
      </c>
      <c r="M63" s="364" t="s">
        <v>2306</v>
      </c>
      <c r="Q63" s="68"/>
    </row>
    <row r="64" spans="1:21">
      <c r="C64" s="78"/>
      <c r="G64" s="363" t="s">
        <v>57</v>
      </c>
      <c r="H64" s="162">
        <f>bMHthit</f>
        <v>0.97956097560975608</v>
      </c>
      <c r="I64" s="161">
        <f>SUM($F$2:$F$4)</f>
        <v>0.93506381198846156</v>
      </c>
      <c r="J64" s="161">
        <f t="shared" ref="J64:J71" si="3">1/I64</f>
        <v>1.0694457289213752</v>
      </c>
      <c r="K64" s="161">
        <f>SUM($G$2:$G$4)</f>
        <v>0.76777887334997796</v>
      </c>
      <c r="L64" s="162">
        <f>MHspd/60/(1+$Q$41)*H64</f>
        <v>2.6601523330433349E-2</v>
      </c>
      <c r="M64" s="365">
        <f>1/L64/I64</f>
        <v>40.202424336274028</v>
      </c>
    </row>
    <row r="65" spans="1:14">
      <c r="C65" s="78"/>
      <c r="G65" s="363" t="s">
        <v>58</v>
      </c>
      <c r="H65" s="162">
        <f>bOHthit</f>
        <v>0.97956097560975608</v>
      </c>
      <c r="I65" s="161">
        <f>SUM($F$5:$F$7)</f>
        <v>1.1397747454737659</v>
      </c>
      <c r="J65" s="161">
        <f t="shared" si="3"/>
        <v>0.87736634275427272</v>
      </c>
      <c r="K65" s="161">
        <f>SUM($G$5:$G$7)</f>
        <v>1.1164788616516437</v>
      </c>
      <c r="L65" s="162">
        <f>ohspd/60/(1+$Q$41)*H65</f>
        <v>1.4323897177925649E-2</v>
      </c>
      <c r="M65" s="365">
        <f>1/L65/I65</f>
        <v>61.251929684776663</v>
      </c>
    </row>
    <row r="66" spans="1:14">
      <c r="C66" s="78"/>
      <c r="G66" s="363" t="s">
        <v>2232</v>
      </c>
      <c r="H66" s="162">
        <f>$F$25</f>
        <v>0.98</v>
      </c>
      <c r="I66" s="161">
        <f>K66/$F$25</f>
        <v>0.31517231049062555</v>
      </c>
      <c r="J66" s="161">
        <f>IF(I66=0,0,1/I66)</f>
        <v>3.1728675607425987</v>
      </c>
      <c r="K66" s="161">
        <f>IF(instatk="v",0,instsec)</f>
        <v>0.30886886428081306</v>
      </c>
      <c r="L66" s="162">
        <f>MHspd/60*H66</f>
        <v>4.2466666666666666E-2</v>
      </c>
      <c r="M66" s="365">
        <f>IF(I66=0,0,1/L66/I66)</f>
        <v>74.714306767879094</v>
      </c>
    </row>
    <row r="67" spans="1:14">
      <c r="A67" s="356"/>
      <c r="B67" s="78"/>
      <c r="C67" s="78"/>
      <c r="G67" s="363" t="s">
        <v>2233</v>
      </c>
      <c r="H67" s="162">
        <f>$F$25</f>
        <v>0.98</v>
      </c>
      <c r="I67" s="161">
        <f>K67/$F$25</f>
        <v>0</v>
      </c>
      <c r="J67" s="161">
        <f>IF(I67=0,0,1/I67)</f>
        <v>0</v>
      </c>
      <c r="K67" s="161">
        <f>IF(OR(instatk="v",instatk="mut"),instsec,0)</f>
        <v>0</v>
      </c>
      <c r="L67" s="162">
        <f>ohspd/60*H67</f>
        <v>2.2866666666666664E-2</v>
      </c>
      <c r="M67" s="365">
        <f>IF(I67=0,0,1/L67/I67)</f>
        <v>0</v>
      </c>
    </row>
    <row r="68" spans="1:14">
      <c r="A68" s="356"/>
      <c r="B68" s="78"/>
      <c r="C68" s="78"/>
      <c r="G68" s="363" t="s">
        <v>2300</v>
      </c>
      <c r="H68" s="162">
        <f>$K$25</f>
        <v>1</v>
      </c>
      <c r="I68" s="161">
        <f>K68/$K$25</f>
        <v>6.4249278896646056E-2</v>
      </c>
      <c r="J68" s="161">
        <f>IF(I68=0,0,1/I68)</f>
        <v>15.564377019836126</v>
      </c>
      <c r="K68" s="161">
        <f>$Q$18</f>
        <v>6.4249278896646056E-2</v>
      </c>
      <c r="L68" s="162">
        <f>MHspd/60*H68</f>
        <v>4.3333333333333335E-2</v>
      </c>
      <c r="M68" s="365">
        <f>IF(I68=0,0,1/L68/I68)</f>
        <v>359.17793122698748</v>
      </c>
    </row>
    <row r="69" spans="1:14">
      <c r="A69" s="356"/>
      <c r="B69" s="78"/>
      <c r="C69" s="78"/>
      <c r="G69" s="366" t="s">
        <v>2301</v>
      </c>
      <c r="H69" s="359">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4">
        <f>1/(1/M64+1/M65+IF(M66=0,0,1/M66)+IF(M67=0,0,1/M67)+IF(M68=0,0,1/M68))</f>
        <v>17.431141040647823</v>
      </c>
    </row>
    <row r="70" spans="1:14">
      <c r="A70" s="356"/>
      <c r="B70" s="78"/>
      <c r="C70" s="78"/>
      <c r="G70" s="366" t="s">
        <v>2302</v>
      </c>
      <c r="H70" s="359">
        <f>(H64*I64+H66*I66+H68*I68)/I70</f>
        <v>0.98066525634831736</v>
      </c>
      <c r="I70" s="161">
        <f>I64+I66+I68</f>
        <v>1.314485401375733</v>
      </c>
      <c r="J70" s="161">
        <f t="shared" si="3"/>
        <v>0.76075397943058598</v>
      </c>
      <c r="K70" s="161">
        <f>I70*H70</f>
        <v>1.289070163106254</v>
      </c>
      <c r="L70" s="162">
        <f>(L64*I64+L66*I66+L68*I68)/I70</f>
        <v>3.1223302014707275E-2</v>
      </c>
      <c r="M70" s="364">
        <f>1/(1/M64+IF(M66=0,0,1/M66)+IF(M68=0,0,1/M68))</f>
        <v>24.364943178407074</v>
      </c>
    </row>
    <row r="71" spans="1:14" ht="13.5" thickBot="1">
      <c r="A71" s="356"/>
      <c r="B71" s="78"/>
      <c r="C71" s="78"/>
      <c r="G71" s="367" t="s">
        <v>2303</v>
      </c>
      <c r="H71" s="368">
        <f>(H65*I65+H67*I67)/I71</f>
        <v>0.97956097560975597</v>
      </c>
      <c r="I71" s="369">
        <f>I65+I67</f>
        <v>1.1397747454737659</v>
      </c>
      <c r="J71" s="369">
        <f t="shared" si="3"/>
        <v>0.87736634275427272</v>
      </c>
      <c r="K71" s="369">
        <f>K65+K67</f>
        <v>1.1164788616516437</v>
      </c>
      <c r="L71" s="370">
        <f>(L65*I65+L67*I67)/I71</f>
        <v>1.4323897177925647E-2</v>
      </c>
      <c r="M71" s="371">
        <f>1/(1/M65+IF(M67=0,0,1/M67))</f>
        <v>61.251929684776663</v>
      </c>
    </row>
    <row r="72" spans="1:14" ht="13.5" thickBot="1">
      <c r="A72" s="356"/>
      <c r="B72" s="78"/>
      <c r="C72" s="78"/>
    </row>
    <row r="73" spans="1:14">
      <c r="A73" s="356"/>
      <c r="B73" s="78"/>
      <c r="C73" s="78"/>
      <c r="G73" s="360" t="s">
        <v>867</v>
      </c>
      <c r="H73" s="361"/>
      <c r="I73" s="361"/>
      <c r="J73" s="361"/>
      <c r="K73" s="361"/>
      <c r="L73" s="361" t="s">
        <v>2304</v>
      </c>
      <c r="M73" s="362"/>
    </row>
    <row r="74" spans="1:14">
      <c r="A74" s="356"/>
      <c r="B74" s="78"/>
      <c r="C74" s="78"/>
      <c r="G74" s="363"/>
      <c r="H74" s="160" t="s">
        <v>1186</v>
      </c>
      <c r="I74" s="160" t="s">
        <v>2297</v>
      </c>
      <c r="J74" s="160" t="s">
        <v>2298</v>
      </c>
      <c r="K74" s="160" t="s">
        <v>505</v>
      </c>
      <c r="L74" s="160" t="s">
        <v>2305</v>
      </c>
      <c r="M74" s="364" t="s">
        <v>2306</v>
      </c>
      <c r="N74" s="68">
        <f>IF(time=0, (1+('Gear &amp; Buffs'!$P$143-325*itDSTup)/(hasterate*100))*(1+blfl*20%*15/120), 'Cooldowns Calc'!AD1-(325*itDSTup)/(hasterate*100))</f>
        <v>1.1650282888959154</v>
      </c>
    </row>
    <row r="75" spans="1:14">
      <c r="A75" s="356"/>
      <c r="B75" s="78"/>
      <c r="C75" s="78"/>
      <c r="G75" s="363" t="s">
        <v>57</v>
      </c>
      <c r="H75" s="162">
        <f>bMHthit</f>
        <v>0.97956097560975608</v>
      </c>
      <c r="I75" s="161">
        <f>SUM($F$3:$F$4)+1/bMHspd*N$74</f>
        <v>0.91069213662058168</v>
      </c>
      <c r="J75" s="161">
        <f t="shared" ref="J75:J80" si="4">1/I75</f>
        <v>1.0980659212791977</v>
      </c>
      <c r="K75" s="161">
        <f>SUM($G$2:$G$4)</f>
        <v>0.76777887334997796</v>
      </c>
      <c r="L75" s="162">
        <f>MHspd/60*H75</f>
        <v>4.2447642276422767E-2</v>
      </c>
      <c r="M75" s="365">
        <f>1/L75/I75</f>
        <v>25.868714076708812</v>
      </c>
      <c r="N75" s="68"/>
    </row>
    <row r="76" spans="1:14">
      <c r="A76" s="356"/>
      <c r="B76" s="78"/>
      <c r="C76" s="78"/>
      <c r="G76" s="363" t="s">
        <v>58</v>
      </c>
      <c r="H76" s="162">
        <f>bOHthit</f>
        <v>0.97956097560975608</v>
      </c>
      <c r="I76" s="161">
        <f>SUM($F$6:$F$7)+1/bOHspd*N$74</f>
        <v>1.0945130626477031</v>
      </c>
      <c r="J76" s="161">
        <f t="shared" si="4"/>
        <v>0.91364830089915106</v>
      </c>
      <c r="K76" s="161">
        <f>SUM($G$5:$G$7)</f>
        <v>1.1164788616516437</v>
      </c>
      <c r="L76" s="162">
        <f>ohspd/60*H76</f>
        <v>2.2856422764227641E-2</v>
      </c>
      <c r="M76" s="365">
        <f>1/L76/I76</f>
        <v>39.973372488064619</v>
      </c>
    </row>
    <row r="77" spans="1:14">
      <c r="A77" s="356"/>
      <c r="B77" s="78"/>
      <c r="C77" s="78"/>
      <c r="G77" s="363" t="s">
        <v>2232</v>
      </c>
      <c r="H77" s="162">
        <f>$F$25</f>
        <v>0.98</v>
      </c>
      <c r="I77" s="161">
        <f>K77/$F$25</f>
        <v>0.31517231049062555</v>
      </c>
      <c r="J77" s="161">
        <f>IF(I77=0,0,1/I77)</f>
        <v>3.1728675607425987</v>
      </c>
      <c r="K77" s="161">
        <f>IF(instatk="v",0,instsec)</f>
        <v>0.30886886428081306</v>
      </c>
      <c r="L77" s="162">
        <f>MHspd/60*H77</f>
        <v>4.2466666666666666E-2</v>
      </c>
      <c r="M77" s="365">
        <f>IF(I77=0,0,1/L77/I77)</f>
        <v>74.714306767879094</v>
      </c>
    </row>
    <row r="78" spans="1:14">
      <c r="A78" s="356"/>
      <c r="B78" s="78"/>
      <c r="C78" s="78"/>
      <c r="G78" s="363" t="s">
        <v>2233</v>
      </c>
      <c r="H78" s="162">
        <f>$F$25</f>
        <v>0.98</v>
      </c>
      <c r="I78" s="161">
        <f>K78/$F$25</f>
        <v>0</v>
      </c>
      <c r="J78" s="161">
        <f>IF(I78=0,0,1/I78)</f>
        <v>0</v>
      </c>
      <c r="K78" s="161">
        <f>IF(OR(instatk="v",instatk="mut"),instsec,0)</f>
        <v>0</v>
      </c>
      <c r="L78" s="162">
        <f>ohspd/60*H78</f>
        <v>2.2866666666666664E-2</v>
      </c>
      <c r="M78" s="365">
        <f>IF(I78=0,0,1/L78/I78)</f>
        <v>0</v>
      </c>
    </row>
    <row r="79" spans="1:14">
      <c r="A79" s="356"/>
      <c r="B79" s="78"/>
      <c r="C79" s="78"/>
      <c r="G79" s="363" t="s">
        <v>2300</v>
      </c>
      <c r="H79" s="162">
        <f>$K$25</f>
        <v>1</v>
      </c>
      <c r="I79" s="161">
        <f>K79/$K$25</f>
        <v>6.4249278896646056E-2</v>
      </c>
      <c r="J79" s="161">
        <f>IF(I79=0,0,1/I79)</f>
        <v>15.564377019836126</v>
      </c>
      <c r="K79" s="161">
        <f>$Q$18</f>
        <v>6.4249278896646056E-2</v>
      </c>
      <c r="L79" s="162">
        <f>MHspd/60*H79</f>
        <v>4.3333333333333335E-2</v>
      </c>
      <c r="M79" s="365">
        <f>IF(I79=0,0,1/L79/I79)</f>
        <v>359.17793122698748</v>
      </c>
    </row>
    <row r="80" spans="1:14" ht="13.5" thickBot="1">
      <c r="A80" s="356"/>
      <c r="B80" s="78"/>
      <c r="C80" s="78"/>
      <c r="G80" s="367" t="s">
        <v>2301</v>
      </c>
      <c r="H80" s="368">
        <f>(H75*I75+H76*I76+H77*I77+H78*I78+H79*I79)/I80</f>
        <v>0.98016969178989988</v>
      </c>
      <c r="I80" s="369">
        <f>SUM(I75:I79)</f>
        <v>2.3846267886555563</v>
      </c>
      <c r="J80" s="369">
        <f t="shared" si="4"/>
        <v>0.41935283322208933</v>
      </c>
      <c r="K80" s="369">
        <f>SUM(K75:K79)</f>
        <v>2.2573758781790807</v>
      </c>
      <c r="L80" s="370">
        <f>(I75*L75+I76*L76+I77*L77+I78*L78+I79*L79)/I80</f>
        <v>3.3481901893798995E-2</v>
      </c>
      <c r="M80" s="371">
        <f>1/(1/M75+1/M76+IF(M77=0,0,1/M77)+IF(M78=0,0,1/M78)+IF(M79=0,0,1/M79))</f>
        <v>12.524761423417093</v>
      </c>
    </row>
    <row r="81" spans="1:14" ht="13.5" thickBot="1">
      <c r="A81" s="356"/>
      <c r="B81" s="78"/>
      <c r="C81" s="78"/>
    </row>
    <row r="82" spans="1:14">
      <c r="A82" s="356"/>
      <c r="B82" s="78"/>
      <c r="C82" s="78"/>
      <c r="G82" s="360" t="s">
        <v>1676</v>
      </c>
      <c r="H82" s="361"/>
      <c r="I82" s="361"/>
      <c r="J82" s="361"/>
      <c r="K82" s="361"/>
      <c r="L82" s="361" t="s">
        <v>2304</v>
      </c>
      <c r="M82" s="362"/>
    </row>
    <row r="83" spans="1:14">
      <c r="A83" s="356"/>
      <c r="B83" s="78"/>
      <c r="C83" s="78"/>
      <c r="G83" s="363"/>
      <c r="H83" s="160" t="s">
        <v>1186</v>
      </c>
      <c r="I83" s="160" t="s">
        <v>2297</v>
      </c>
      <c r="J83" s="160" t="s">
        <v>2298</v>
      </c>
      <c r="K83" s="160" t="s">
        <v>505</v>
      </c>
      <c r="L83" s="160" t="s">
        <v>2305</v>
      </c>
      <c r="M83" s="364" t="s">
        <v>2306</v>
      </c>
      <c r="N83" s="68">
        <f>IF(time=0, (1+('Gear &amp; Buffs'!$P$143-450*stTwinUP)/(hasterate*100))*(1+blfl*20%*15/120), 'Cooldowns Calc'!AD1-(450*stTwinUP)/(hasterate*100))</f>
        <v>1.178726918585584</v>
      </c>
    </row>
    <row r="84" spans="1:14">
      <c r="A84" s="356"/>
      <c r="B84" s="78"/>
      <c r="C84" s="78"/>
      <c r="G84" s="363" t="s">
        <v>57</v>
      </c>
      <c r="H84" s="162">
        <f>bMHthit</f>
        <v>0.97956097560975608</v>
      </c>
      <c r="I84" s="161">
        <f>SUM($F$3:$F$4)+1/bMHspd*N$83</f>
        <v>0.91596084034737735</v>
      </c>
      <c r="J84" s="161">
        <f t="shared" ref="J84:J89" si="5">1/I84</f>
        <v>1.0917497298473491</v>
      </c>
      <c r="K84" s="161">
        <f>SUM($G$2:$G$4)</f>
        <v>0.76777887334997796</v>
      </c>
      <c r="L84" s="162">
        <f>MHspd/60*H84</f>
        <v>4.2447642276422767E-2</v>
      </c>
      <c r="M84" s="365">
        <f>1/L84/I84</f>
        <v>25.719914494609124</v>
      </c>
      <c r="N84" s="68"/>
    </row>
    <row r="85" spans="1:14">
      <c r="A85" s="356"/>
      <c r="B85" s="78"/>
      <c r="C85" s="78"/>
      <c r="G85" s="363" t="s">
        <v>58</v>
      </c>
      <c r="H85" s="162">
        <f>bOHthit</f>
        <v>0.97956097560975608</v>
      </c>
      <c r="I85" s="161">
        <f>SUM($F$6:$F$7)+1/bOHspd*N$83</f>
        <v>1.1042977981403235</v>
      </c>
      <c r="J85" s="161">
        <f t="shared" si="5"/>
        <v>0.90555283337885428</v>
      </c>
      <c r="K85" s="161">
        <f>SUM($G$5:$G$7)</f>
        <v>1.1164788616516437</v>
      </c>
      <c r="L85" s="162">
        <f>ohspd/60*H85</f>
        <v>2.2856422764227641E-2</v>
      </c>
      <c r="M85" s="365">
        <f>1/L85/I85</f>
        <v>39.619184625694182</v>
      </c>
    </row>
    <row r="86" spans="1:14">
      <c r="A86" s="356"/>
      <c r="B86" s="78"/>
      <c r="C86" s="78"/>
      <c r="G86" s="363" t="s">
        <v>2232</v>
      </c>
      <c r="H86" s="162">
        <f>$F$25</f>
        <v>0.98</v>
      </c>
      <c r="I86" s="161">
        <f>K86/$F$25</f>
        <v>0.31517231049062555</v>
      </c>
      <c r="J86" s="161">
        <f>IF(I86=0,0,1/I86)</f>
        <v>3.1728675607425987</v>
      </c>
      <c r="K86" s="161">
        <f>IF(instatk="v",0,instsec)</f>
        <v>0.30886886428081306</v>
      </c>
      <c r="L86" s="162">
        <f>MHspd/60*H86</f>
        <v>4.2466666666666666E-2</v>
      </c>
      <c r="M86" s="365">
        <f>IF(I86=0,0,1/L86/I86)</f>
        <v>74.714306767879094</v>
      </c>
    </row>
    <row r="87" spans="1:14">
      <c r="A87" s="356"/>
      <c r="B87" s="78"/>
      <c r="C87" s="78"/>
      <c r="G87" s="363" t="s">
        <v>2233</v>
      </c>
      <c r="H87" s="162">
        <f>$F$25</f>
        <v>0.98</v>
      </c>
      <c r="I87" s="161">
        <f>K87/$F$25</f>
        <v>0</v>
      </c>
      <c r="J87" s="161">
        <f>IF(I87=0,0,1/I87)</f>
        <v>0</v>
      </c>
      <c r="K87" s="161">
        <f>IF(OR(instatk="v",instatk="mut"),instsec,0)</f>
        <v>0</v>
      </c>
      <c r="L87" s="162">
        <f>ohspd/60*H87</f>
        <v>2.2866666666666664E-2</v>
      </c>
      <c r="M87" s="365">
        <f>IF(I87=0,0,1/L87/I87)</f>
        <v>0</v>
      </c>
    </row>
    <row r="88" spans="1:14">
      <c r="A88" s="356"/>
      <c r="B88" s="78"/>
      <c r="C88" s="78"/>
      <c r="G88" s="363" t="s">
        <v>2300</v>
      </c>
      <c r="H88" s="162">
        <f>$K$25</f>
        <v>1</v>
      </c>
      <c r="I88" s="161">
        <f>K88/$K$25</f>
        <v>6.4249278896646056E-2</v>
      </c>
      <c r="J88" s="161">
        <f>IF(I88=0,0,1/I88)</f>
        <v>15.564377019836126</v>
      </c>
      <c r="K88" s="161">
        <f>$Q$18</f>
        <v>6.4249278896646056E-2</v>
      </c>
      <c r="L88" s="162">
        <f>MHspd/60*H88</f>
        <v>4.3333333333333335E-2</v>
      </c>
      <c r="M88" s="365">
        <f>IF(I88=0,0,1/L88/I88)</f>
        <v>359.17793122698748</v>
      </c>
    </row>
    <row r="89" spans="1:14" ht="13.5" thickBot="1">
      <c r="A89" s="356"/>
      <c r="B89" s="78"/>
      <c r="C89" s="78"/>
      <c r="G89" s="367" t="s">
        <v>2301</v>
      </c>
      <c r="H89" s="368">
        <f>(H84*I84+H85*I85+H86*I86+H87*I87+H88*I88)/I89</f>
        <v>0.9801658732511157</v>
      </c>
      <c r="I89" s="369">
        <f>SUM(I84:I88)</f>
        <v>2.3996802278749727</v>
      </c>
      <c r="J89" s="369">
        <f t="shared" si="5"/>
        <v>0.41672219005844208</v>
      </c>
      <c r="K89" s="369">
        <f>SUM(K84:K88)</f>
        <v>2.2573758781790807</v>
      </c>
      <c r="L89" s="370">
        <f>(I84*L84+I85*L85+I86*L86+I87*L87+I88*L88)/I89</f>
        <v>3.3458261380226041E-2</v>
      </c>
      <c r="M89" s="371">
        <f>1/(1/M84+1/M85+IF(M86=0,0,1/M86)+IF(M87=0,0,1/M87)+IF(M88=0,0,1/M88))</f>
        <v>12.45498638804724</v>
      </c>
    </row>
    <row r="90" spans="1:14" ht="13.5" thickBot="1">
      <c r="A90" s="356"/>
      <c r="B90" s="78"/>
      <c r="C90" s="78"/>
    </row>
    <row r="91" spans="1:14">
      <c r="A91" s="356"/>
      <c r="B91" s="78"/>
      <c r="C91" s="78"/>
      <c r="G91" s="360" t="s">
        <v>2876</v>
      </c>
      <c r="H91" s="361"/>
      <c r="I91" s="361"/>
      <c r="J91" s="361"/>
      <c r="K91" s="361"/>
      <c r="L91" s="361" t="s">
        <v>2304</v>
      </c>
      <c r="M91" s="362"/>
    </row>
    <row r="92" spans="1:14">
      <c r="A92" s="356"/>
      <c r="B92" s="78"/>
      <c r="C92" s="78"/>
      <c r="G92" s="363"/>
      <c r="H92" s="160" t="s">
        <v>1186</v>
      </c>
      <c r="I92" s="160" t="s">
        <v>2297</v>
      </c>
      <c r="J92" s="160" t="s">
        <v>2298</v>
      </c>
      <c r="K92" s="160" t="s">
        <v>505</v>
      </c>
      <c r="L92" s="160" t="s">
        <v>2305</v>
      </c>
      <c r="M92" s="364" t="s">
        <v>2306</v>
      </c>
      <c r="N92" s="68">
        <f>IF(time=0, (1+('Gear &amp; Buffs'!$P$143-240*itTSDup)/(hasterate*100))*(1+blfl*20%*15/120), 'Cooldowns Calc'!$AD$1-(240*itTSDup)/(hasterate*100))</f>
        <v>1.2109323874494358</v>
      </c>
    </row>
    <row r="93" spans="1:14">
      <c r="A93" s="356"/>
      <c r="B93" s="78"/>
      <c r="C93" s="78"/>
      <c r="G93" s="363" t="s">
        <v>57</v>
      </c>
      <c r="H93" s="162">
        <f>bMHthit</f>
        <v>0.97956097560975608</v>
      </c>
      <c r="I93" s="161">
        <f>SUM($F$3:$F$4)+1/bMHspd*N$92</f>
        <v>0.9283475591411664</v>
      </c>
      <c r="J93" s="161">
        <f t="shared" ref="J93:J94" si="6">1/I93</f>
        <v>1.0771827750860041</v>
      </c>
      <c r="K93" s="161">
        <f>SUM($G$2:$G$4)</f>
        <v>0.76777887334997796</v>
      </c>
      <c r="L93" s="162">
        <f>MHspd/60*H93</f>
        <v>4.2447642276422767E-2</v>
      </c>
      <c r="M93" s="365">
        <f>1/L93/I93</f>
        <v>25.37673984508481</v>
      </c>
      <c r="N93" s="68"/>
    </row>
    <row r="94" spans="1:14">
      <c r="A94" s="356"/>
      <c r="B94" s="78"/>
      <c r="C94" s="78"/>
      <c r="G94" s="363" t="s">
        <v>58</v>
      </c>
      <c r="H94" s="162">
        <f>bOHthit</f>
        <v>0.97956097560975608</v>
      </c>
      <c r="I94" s="161">
        <f>SUM($F$6:$F$7)+1/bOHspd*N$92</f>
        <v>1.127301704471646</v>
      </c>
      <c r="J94" s="161">
        <f t="shared" si="6"/>
        <v>0.88707397144288813</v>
      </c>
      <c r="K94" s="161">
        <f>SUM($G$5:$G$7)</f>
        <v>1.1164788616516437</v>
      </c>
      <c r="L94" s="162">
        <f>ohspd/60*H94</f>
        <v>2.2856422764227641E-2</v>
      </c>
      <c r="M94" s="365">
        <f>1/L94/I94</f>
        <v>38.81070894572526</v>
      </c>
    </row>
    <row r="95" spans="1:14">
      <c r="A95" s="356"/>
      <c r="B95" s="78"/>
      <c r="C95" s="78"/>
      <c r="G95" s="363" t="s">
        <v>2232</v>
      </c>
      <c r="H95" s="162">
        <f>$F$25</f>
        <v>0.98</v>
      </c>
      <c r="I95" s="161">
        <f>K95/$F$25</f>
        <v>0.31517231049062555</v>
      </c>
      <c r="J95" s="161">
        <f>IF(I95=0,0,1/I95)</f>
        <v>3.1728675607425987</v>
      </c>
      <c r="K95" s="161">
        <f>IF(instatk="v",0,instsec)</f>
        <v>0.30886886428081306</v>
      </c>
      <c r="L95" s="162">
        <f>MHspd/60*H95</f>
        <v>4.2466666666666666E-2</v>
      </c>
      <c r="M95" s="365">
        <f>IF(I95=0,0,1/L95/I95)</f>
        <v>74.714306767879094</v>
      </c>
    </row>
    <row r="96" spans="1:14">
      <c r="A96" s="356"/>
      <c r="B96" s="78"/>
      <c r="C96" s="78"/>
      <c r="G96" s="363" t="s">
        <v>2233</v>
      </c>
      <c r="H96" s="162">
        <f>$F$25</f>
        <v>0.98</v>
      </c>
      <c r="I96" s="161">
        <f>K96/$F$25</f>
        <v>0</v>
      </c>
      <c r="J96" s="161">
        <f>IF(I96=0,0,1/I96)</f>
        <v>0</v>
      </c>
      <c r="K96" s="161">
        <f>IF(OR(instatk="v",instatk="mut"),instsec,0)</f>
        <v>0</v>
      </c>
      <c r="L96" s="162">
        <f>ohspd/60*H96</f>
        <v>2.2866666666666664E-2</v>
      </c>
      <c r="M96" s="365">
        <f>IF(I96=0,0,1/L96/I96)</f>
        <v>0</v>
      </c>
    </row>
    <row r="97" spans="1:14">
      <c r="A97" s="356"/>
      <c r="B97" s="78"/>
      <c r="C97" s="78"/>
      <c r="G97" s="363" t="s">
        <v>2300</v>
      </c>
      <c r="H97" s="162">
        <f>$K$25</f>
        <v>1</v>
      </c>
      <c r="I97" s="161">
        <f>K97/$K$25</f>
        <v>6.4249278896646056E-2</v>
      </c>
      <c r="J97" s="161">
        <f>IF(I97=0,0,1/I97)</f>
        <v>15.564377019836126</v>
      </c>
      <c r="K97" s="161">
        <f>$Q$18</f>
        <v>6.4249278896646056E-2</v>
      </c>
      <c r="L97" s="162">
        <f>MHspd/60*H97</f>
        <v>4.3333333333333335E-2</v>
      </c>
      <c r="M97" s="365">
        <f>IF(I97=0,0,1/L97/I97)</f>
        <v>359.17793122698748</v>
      </c>
    </row>
    <row r="98" spans="1:14" ht="13.5" thickBot="1">
      <c r="A98" s="356"/>
      <c r="B98" s="78"/>
      <c r="C98" s="78"/>
      <c r="G98" s="367" t="s">
        <v>2301</v>
      </c>
      <c r="H98" s="368">
        <f>(H93*I93+H94*I94+H95*I95+H96*I96+H97*I97)/I98</f>
        <v>0.9801570818413553</v>
      </c>
      <c r="I98" s="369">
        <f>SUM(I93:I97)</f>
        <v>2.435070853000084</v>
      </c>
      <c r="J98" s="369">
        <f t="shared" ref="J98" si="7">1/I98</f>
        <v>0.41066566862642562</v>
      </c>
      <c r="K98" s="369">
        <f>SUM(K93:K97)</f>
        <v>2.2573758781790807</v>
      </c>
      <c r="L98" s="370">
        <f>(I93*L93+I94*L94+I95*L95+I96*L96+I97*L97)/I98</f>
        <v>3.3403833900628281E-2</v>
      </c>
      <c r="M98" s="371">
        <f>1/(1/M93+1/M94+IF(M95=0,0,1/M95)+IF(M96=0,0,1/M96)+IF(M97=0,0,1/M97))</f>
        <v>12.293968107017244</v>
      </c>
    </row>
    <row r="99" spans="1:14" ht="13.5" thickBot="1">
      <c r="A99" s="356"/>
      <c r="B99" s="78"/>
      <c r="C99" s="78"/>
    </row>
    <row r="100" spans="1:14">
      <c r="A100" s="356"/>
      <c r="B100" s="78"/>
      <c r="C100" s="78"/>
      <c r="G100" s="360" t="s">
        <v>3015</v>
      </c>
      <c r="H100" s="361"/>
      <c r="I100" s="361"/>
      <c r="J100" s="361"/>
      <c r="K100" s="361"/>
      <c r="L100" s="361" t="s">
        <v>2304</v>
      </c>
      <c r="M100" s="362"/>
    </row>
    <row r="101" spans="1:14">
      <c r="A101" s="356"/>
      <c r="B101" s="78"/>
      <c r="C101" s="78"/>
      <c r="G101" s="363"/>
      <c r="H101" s="160" t="s">
        <v>1186</v>
      </c>
      <c r="I101" s="160" t="s">
        <v>2297</v>
      </c>
      <c r="J101" s="160" t="s">
        <v>2298</v>
      </c>
      <c r="K101" s="160" t="s">
        <v>505</v>
      </c>
      <c r="L101" s="160" t="s">
        <v>2305</v>
      </c>
      <c r="M101" s="364" t="s">
        <v>2306</v>
      </c>
      <c r="N101" s="68">
        <f>IF(time=0, (1+('Gear &amp; Buffs'!$P$143-180*itTSDup)/(hasterate*100))*(1+blfl*20%*15/120), 'Cooldowns Calc'!$AD$1-(180*itTSDup)/(hasterate*100))</f>
        <v>1.2152979518001776</v>
      </c>
    </row>
    <row r="102" spans="1:14">
      <c r="A102" s="356"/>
      <c r="B102" s="78"/>
      <c r="C102" s="78"/>
      <c r="G102" s="363"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5">
        <f>1/L102/I102</f>
        <v>25.330924865937114</v>
      </c>
      <c r="N102" s="68"/>
    </row>
    <row r="103" spans="1:14">
      <c r="A103" s="356"/>
      <c r="B103" s="78"/>
      <c r="C103" s="78"/>
      <c r="G103" s="363" t="s">
        <v>58</v>
      </c>
      <c r="H103" s="162">
        <f>bOHthit</f>
        <v>0.97956097560975608</v>
      </c>
      <c r="I103" s="161">
        <f>SUM($F$6:$F$7)+1/bOHspd*N$101</f>
        <v>1.130419964722176</v>
      </c>
      <c r="J103" s="161">
        <f t="shared" si="8"/>
        <v>0.88462698042118415</v>
      </c>
      <c r="K103" s="161">
        <f>SUM($G$5:$G$7)</f>
        <v>1.1164788616516437</v>
      </c>
      <c r="L103" s="162">
        <f>ohspd/60*H103</f>
        <v>2.2856422764227641E-2</v>
      </c>
      <c r="M103" s="365">
        <f>1/L103/I103</f>
        <v>38.703649715724765</v>
      </c>
    </row>
    <row r="104" spans="1:14">
      <c r="A104" s="356"/>
      <c r="B104" s="78"/>
      <c r="C104" s="78"/>
      <c r="G104" s="363" t="s">
        <v>2232</v>
      </c>
      <c r="H104" s="162">
        <f>$F$25</f>
        <v>0.98</v>
      </c>
      <c r="I104" s="161">
        <f>K104/$F$25</f>
        <v>0.31517231049062555</v>
      </c>
      <c r="J104" s="161">
        <f>IF(I104=0,0,1/I104)</f>
        <v>3.1728675607425987</v>
      </c>
      <c r="K104" s="161">
        <f>IF(instatk="v",0,instsec)</f>
        <v>0.30886886428081306</v>
      </c>
      <c r="L104" s="162">
        <f>MHspd/60*H104</f>
        <v>4.2466666666666666E-2</v>
      </c>
      <c r="M104" s="365">
        <f>IF(I104=0,0,1/L104/I104)</f>
        <v>74.714306767879094</v>
      </c>
    </row>
    <row r="105" spans="1:14">
      <c r="A105" s="356"/>
      <c r="B105" s="78"/>
      <c r="C105" s="78"/>
      <c r="G105" s="363" t="s">
        <v>2233</v>
      </c>
      <c r="H105" s="162">
        <f>$F$25</f>
        <v>0.98</v>
      </c>
      <c r="I105" s="161">
        <f>K105/$F$25</f>
        <v>0</v>
      </c>
      <c r="J105" s="161">
        <f>IF(I105=0,0,1/I105)</f>
        <v>0</v>
      </c>
      <c r="K105" s="161">
        <f>IF(OR(instatk="v",instatk="mut"),instsec,0)</f>
        <v>0</v>
      </c>
      <c r="L105" s="162">
        <f>ohspd/60*H105</f>
        <v>2.2866666666666664E-2</v>
      </c>
      <c r="M105" s="365">
        <f>IF(I105=0,0,1/L105/I105)</f>
        <v>0</v>
      </c>
    </row>
    <row r="106" spans="1:14">
      <c r="A106" s="356"/>
      <c r="B106" s="78"/>
      <c r="C106" s="78"/>
      <c r="G106" s="363" t="s">
        <v>2300</v>
      </c>
      <c r="H106" s="162">
        <f>$K$25</f>
        <v>1</v>
      </c>
      <c r="I106" s="161">
        <f>K106/$K$25</f>
        <v>6.4249278896646056E-2</v>
      </c>
      <c r="J106" s="161">
        <f>IF(I106=0,0,1/I106)</f>
        <v>15.564377019836126</v>
      </c>
      <c r="K106" s="161">
        <f>$Q$18</f>
        <v>6.4249278896646056E-2</v>
      </c>
      <c r="L106" s="162">
        <f>MHspd/60*H106</f>
        <v>4.3333333333333335E-2</v>
      </c>
      <c r="M106" s="365">
        <f>IF(I106=0,0,1/L106/I106)</f>
        <v>359.17793122698748</v>
      </c>
    </row>
    <row r="107" spans="1:14" ht="13.5" thickBot="1">
      <c r="G107" s="367" t="s">
        <v>2302</v>
      </c>
      <c r="H107" s="368">
        <f>(H102*I102+H104*I104+H106*I106)/I107</f>
        <v>0.9806695042990502</v>
      </c>
      <c r="I107" s="369">
        <f>I102+I104+I106</f>
        <v>1.3094482117402619</v>
      </c>
      <c r="J107" s="369">
        <f t="shared" ref="J107" si="9">1/I107</f>
        <v>0.76368045031043719</v>
      </c>
      <c r="K107" s="369">
        <f>K102+K104+K106</f>
        <v>1.140897016527437</v>
      </c>
      <c r="L107" s="370">
        <f>(I102*L102+I104*L104+I106*L106)/I107</f>
        <v>4.2495678519625511E-2</v>
      </c>
      <c r="M107" s="371">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607.49804426656829</v>
      </c>
      <c r="AD3" s="29">
        <f t="shared" ref="AD3:AD66" si="12">IF($A3&lt;0,0,(1+$AC3/(hasterate*100))*(1+$AS$26/100*AND($J3&gt;0,$J3&lt;=$AT$26))*(1+$AS$35/100*AND($M3&gt;0,$M3&lt;=$AT$35))*(1+0.3*($X3&gt;0)))</f>
        <v>2.1609785530598051</v>
      </c>
      <c r="AE3" s="25">
        <f t="shared" ref="AE3" si="13">IF($A3&lt;0,0,$AN$45+IF($P3&gt;0,$AN$37*$AL$37,0)+$S3*(60-IF(CharLevel&gt;60,(CharLevel-60)*2,0))*$AL$38+IF($J3=1,$AL$26*-25+IF($AL$39, 30, 0),0)+IF($M3=1,$AL$35*-10,0)+100+IF(vigor&gt;0, 10, 0))</f>
        <v>136.59054220555134</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607.49804426656829</v>
      </c>
      <c r="AD4" s="29">
        <f t="shared" si="12"/>
        <v>2.1609785530598051</v>
      </c>
      <c r="AE4" s="25">
        <f t="shared" ref="AE4:AE67" si="22">IF($A4&lt;0,0,$AN$45+IF($P4&gt;0,$AN$37*$AL$37,0)+$S4*(60-IF(CharLevel&gt;60,(CharLevel-60)*2,0))*$AL$38+IF($J4=1,$AL$26*-25+IF($AL$39, 30, 0),0)+IF($M4=1,$AL$35*-10,0)+IF(AE3&gt;instcost,AE3-instcost,0))</f>
        <v>118.01781910498025</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607.49804426656829</v>
      </c>
      <c r="AD5" s="29">
        <f t="shared" si="12"/>
        <v>2.1609785530598051</v>
      </c>
      <c r="AE5" s="25">
        <f t="shared" si="22"/>
        <v>99.445096004409152</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2" t="s">
        <v>2917</v>
      </c>
      <c r="AN5" s="892"/>
      <c r="AO5" s="892"/>
      <c r="AP5" s="892"/>
      <c r="AQ5" s="892"/>
      <c r="AR5" s="892"/>
      <c r="AS5" s="892"/>
      <c r="AT5" s="892"/>
      <c r="AU5" s="892"/>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607.49804426656829</v>
      </c>
      <c r="AD6" s="29">
        <f t="shared" si="12"/>
        <v>2.1609785530598051</v>
      </c>
      <c r="AE6" s="25">
        <f t="shared" si="22"/>
        <v>80.872372903838055</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607.49804426656829</v>
      </c>
      <c r="AD7" s="29">
        <f t="shared" si="12"/>
        <v>2.1609785530598051</v>
      </c>
      <c r="AE7" s="25">
        <f t="shared" si="22"/>
        <v>62.299649803266959</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607.49804426656829</v>
      </c>
      <c r="AD8" s="29">
        <f t="shared" si="12"/>
        <v>2.1609785530598051</v>
      </c>
      <c r="AE8" s="25">
        <f t="shared" si="22"/>
        <v>43.726926702695863</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2" t="s">
        <v>2918</v>
      </c>
      <c r="AN8" s="892"/>
      <c r="AO8" s="892"/>
      <c r="AP8" s="892"/>
      <c r="AQ8" s="892"/>
      <c r="AR8" s="892"/>
      <c r="AS8" s="892"/>
      <c r="AT8" s="892"/>
      <c r="AU8" s="892"/>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607.49804426656829</v>
      </c>
      <c r="AD9" s="29">
        <f t="shared" si="12"/>
        <v>2.1609785530598051</v>
      </c>
      <c r="AE9" s="25">
        <f t="shared" si="22"/>
        <v>25.154203602124767</v>
      </c>
      <c r="AF9" s="25">
        <f t="shared" si="14"/>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607.49804426656829</v>
      </c>
      <c r="AD10" s="29">
        <f t="shared" si="12"/>
        <v>2.1609785530598051</v>
      </c>
      <c r="AE10" s="25">
        <f t="shared" si="22"/>
        <v>21.590542205551351</v>
      </c>
      <c r="AF10" s="25">
        <f t="shared" si="14"/>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607.49804426656829</v>
      </c>
      <c r="AD11" s="29">
        <f t="shared" si="12"/>
        <v>2.1609785530598051</v>
      </c>
      <c r="AE11" s="25">
        <f t="shared" si="22"/>
        <v>21.590542205551351</v>
      </c>
      <c r="AF11" s="25">
        <f t="shared" si="14"/>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607.49804426656829</v>
      </c>
      <c r="AD12" s="29">
        <f t="shared" si="12"/>
        <v>2.1609785530598051</v>
      </c>
      <c r="AE12" s="25">
        <f t="shared" si="22"/>
        <v>21.590542205551351</v>
      </c>
      <c r="AF12" s="25">
        <f t="shared" si="14"/>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607.49804426656829</v>
      </c>
      <c r="AD13" s="29">
        <f t="shared" si="12"/>
        <v>2.1609785530598051</v>
      </c>
      <c r="AE13" s="25">
        <f t="shared" si="22"/>
        <v>21.590542205551351</v>
      </c>
      <c r="AF13" s="25">
        <f t="shared" si="14"/>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607.49804426656829</v>
      </c>
      <c r="AD14" s="29">
        <f t="shared" si="12"/>
        <v>2.1609785530598051</v>
      </c>
      <c r="AE14" s="25">
        <f t="shared" si="22"/>
        <v>21.590542205551351</v>
      </c>
      <c r="AF14" s="25">
        <f t="shared" si="14"/>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2" t="s">
        <v>2919</v>
      </c>
      <c r="AN14" s="892"/>
      <c r="AO14" s="892"/>
      <c r="AP14" s="892"/>
      <c r="AQ14" s="892"/>
      <c r="AR14" s="892"/>
      <c r="AS14" s="892"/>
      <c r="AT14" s="892"/>
      <c r="AU14" s="892"/>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607.49804426656829</v>
      </c>
      <c r="AD15" s="29">
        <f t="shared" si="12"/>
        <v>2.1609785530598051</v>
      </c>
      <c r="AE15" s="25">
        <f t="shared" si="22"/>
        <v>21.590542205551351</v>
      </c>
      <c r="AF15" s="25">
        <f t="shared" si="14"/>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607.49804426656829</v>
      </c>
      <c r="AD16" s="29">
        <f t="shared" si="12"/>
        <v>2.1609785530598051</v>
      </c>
      <c r="AE16" s="25">
        <f t="shared" si="22"/>
        <v>21.590542205551351</v>
      </c>
      <c r="AF16" s="25">
        <f t="shared" si="14"/>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607.49804426656829</v>
      </c>
      <c r="AD17" s="29">
        <f t="shared" si="12"/>
        <v>2.1609785530598051</v>
      </c>
      <c r="AE17" s="25">
        <f t="shared" si="22"/>
        <v>21.590542205551351</v>
      </c>
      <c r="AF17" s="25">
        <f t="shared" si="14"/>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207.49804426656831</v>
      </c>
      <c r="AD18" s="29">
        <f t="shared" si="12"/>
        <v>1.4710593633221953</v>
      </c>
      <c r="AE18" s="25">
        <f t="shared" si="22"/>
        <v>13.243681724743192</v>
      </c>
      <c r="AF18" s="25">
        <f t="shared" si="14"/>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207.49804426656831</v>
      </c>
      <c r="AD19" s="29">
        <f t="shared" si="12"/>
        <v>1.4710593633221953</v>
      </c>
      <c r="AE19" s="25">
        <f t="shared" si="22"/>
        <v>13.243681724743192</v>
      </c>
      <c r="AF19" s="25">
        <f t="shared" si="14"/>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207.49804426656831</v>
      </c>
      <c r="AD20" s="29">
        <f t="shared" si="12"/>
        <v>1.4710593633221953</v>
      </c>
      <c r="AE20" s="25">
        <f t="shared" si="22"/>
        <v>13.243681724743192</v>
      </c>
      <c r="AF20" s="25">
        <f t="shared" si="14"/>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207.49804426656831</v>
      </c>
      <c r="AD21" s="29">
        <f t="shared" si="12"/>
        <v>1.4710593633221953</v>
      </c>
      <c r="AE21" s="25">
        <f t="shared" si="22"/>
        <v>13.243681724743192</v>
      </c>
      <c r="AF21" s="25">
        <f t="shared" si="14"/>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207.49804426656831</v>
      </c>
      <c r="AD22" s="29">
        <f t="shared" si="12"/>
        <v>1.4710593633221953</v>
      </c>
      <c r="AE22" s="25">
        <f t="shared" si="22"/>
        <v>13.243681724743192</v>
      </c>
      <c r="AF22" s="25">
        <f t="shared" si="14"/>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207.49804426656831</v>
      </c>
      <c r="AD23" s="29">
        <f t="shared" si="12"/>
        <v>1.4710593633221953</v>
      </c>
      <c r="AE23" s="25">
        <f t="shared" si="22"/>
        <v>13.243681724743192</v>
      </c>
      <c r="AF23" s="25">
        <f t="shared" si="14"/>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207.49804426656831</v>
      </c>
      <c r="AD24" s="29">
        <f t="shared" si="12"/>
        <v>1.4710593633221953</v>
      </c>
      <c r="AE24" s="25">
        <f t="shared" si="22"/>
        <v>13.243681724743192</v>
      </c>
      <c r="AF24" s="25">
        <f t="shared" si="14"/>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207.49804426656831</v>
      </c>
      <c r="AD25" s="29">
        <f t="shared" si="12"/>
        <v>1.4710593633221953</v>
      </c>
      <c r="AE25" s="25">
        <f t="shared" si="22"/>
        <v>13.243681724743192</v>
      </c>
      <c r="AF25" s="25">
        <f t="shared" si="14"/>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207.49804426656831</v>
      </c>
      <c r="AD26" s="29">
        <f t="shared" si="12"/>
        <v>1.4710593633221953</v>
      </c>
      <c r="AE26" s="25">
        <f t="shared" si="22"/>
        <v>13.243681724743192</v>
      </c>
      <c r="AF26" s="25">
        <f t="shared" si="14"/>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207.49804426656831</v>
      </c>
      <c r="AD27" s="29">
        <f t="shared" si="12"/>
        <v>1.4710593633221953</v>
      </c>
      <c r="AE27" s="25">
        <f t="shared" si="22"/>
        <v>13.243681724743192</v>
      </c>
      <c r="AF27" s="25">
        <f t="shared" si="14"/>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207.49804426656831</v>
      </c>
      <c r="AD28" s="29">
        <f t="shared" si="12"/>
        <v>1.4710593633221953</v>
      </c>
      <c r="AE28" s="25">
        <f t="shared" si="22"/>
        <v>13.243681724743192</v>
      </c>
      <c r="AF28" s="25">
        <f t="shared" si="14"/>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207.49804426656831</v>
      </c>
      <c r="AD29" s="29">
        <f t="shared" si="12"/>
        <v>1.4710593633221953</v>
      </c>
      <c r="AE29" s="25">
        <f t="shared" si="22"/>
        <v>13.243681724743192</v>
      </c>
      <c r="AF29" s="25">
        <f t="shared" si="14"/>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207.49804426656831</v>
      </c>
      <c r="AD30" s="29">
        <f t="shared" si="12"/>
        <v>1.4710593633221953</v>
      </c>
      <c r="AE30" s="25">
        <f t="shared" si="22"/>
        <v>13.243681724743192</v>
      </c>
      <c r="AF30" s="25">
        <f t="shared" si="14"/>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207.49804426656831</v>
      </c>
      <c r="AD31" s="29">
        <f t="shared" si="12"/>
        <v>1.4710593633221953</v>
      </c>
      <c r="AE31" s="25">
        <f t="shared" si="22"/>
        <v>13.243681724743192</v>
      </c>
      <c r="AF31" s="25">
        <f t="shared" si="14"/>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207.49804426656831</v>
      </c>
      <c r="AD32" s="29">
        <f t="shared" si="12"/>
        <v>1.4710593633221953</v>
      </c>
      <c r="AE32" s="25">
        <f t="shared" si="22"/>
        <v>13.243681724743192</v>
      </c>
      <c r="AF32" s="25">
        <f t="shared" si="14"/>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2" t="s">
        <v>2921</v>
      </c>
      <c r="AN32" s="892"/>
      <c r="AO32" s="892"/>
      <c r="AP32" s="892"/>
      <c r="AQ32" s="892"/>
      <c r="AR32" s="892"/>
      <c r="AS32" s="892"/>
      <c r="AT32" s="892"/>
      <c r="AU32" s="892"/>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127.49804426656831</v>
      </c>
      <c r="AD33" s="29">
        <f t="shared" si="12"/>
        <v>1.4051081438100002</v>
      </c>
      <c r="AE33" s="25">
        <f t="shared" si="22"/>
        <v>13.243681724743192</v>
      </c>
      <c r="AF33" s="25">
        <f t="shared" si="14"/>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2848</v>
      </c>
      <c r="AQ33" s="25">
        <f>MIN(Trinket!AF16*200, Trinket!AE17)*AL33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127.49804426656831</v>
      </c>
      <c r="AD34" s="29">
        <f t="shared" si="12"/>
        <v>1.4051081438100002</v>
      </c>
      <c r="AE34" s="25">
        <f t="shared" si="22"/>
        <v>13.243681724743192</v>
      </c>
      <c r="AF34" s="25">
        <f t="shared" si="14"/>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127.49804426656831</v>
      </c>
      <c r="AD35" s="29">
        <f t="shared" si="12"/>
        <v>1.4051081438100002</v>
      </c>
      <c r="AE35" s="25">
        <f t="shared" si="22"/>
        <v>13.243681724743192</v>
      </c>
      <c r="AF35" s="25">
        <f t="shared" si="14"/>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127.49804426656831</v>
      </c>
      <c r="AD36" s="29">
        <f t="shared" si="12"/>
        <v>1.4051081438100002</v>
      </c>
      <c r="AE36" s="25">
        <f t="shared" si="22"/>
        <v>13.243681724743192</v>
      </c>
      <c r="AF36" s="25">
        <f t="shared" si="14"/>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127.49804426656831</v>
      </c>
      <c r="AD37" s="29">
        <f t="shared" si="12"/>
        <v>1.4051081438100002</v>
      </c>
      <c r="AE37" s="25">
        <f t="shared" si="22"/>
        <v>13.243681724743192</v>
      </c>
      <c r="AF37" s="25">
        <f t="shared" si="14"/>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752</v>
      </c>
      <c r="AN37" s="898">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127.49804426656831</v>
      </c>
      <c r="AD38" s="29">
        <f t="shared" si="12"/>
        <v>1.4051081438100002</v>
      </c>
      <c r="AE38" s="25">
        <f t="shared" si="22"/>
        <v>13.243681724743192</v>
      </c>
      <c r="AF38" s="25">
        <f t="shared" si="14"/>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127.49804426656831</v>
      </c>
      <c r="AD39" s="29">
        <f t="shared" si="12"/>
        <v>1.4051081438100002</v>
      </c>
      <c r="AE39" s="25">
        <f t="shared" si="22"/>
        <v>13.243681724743192</v>
      </c>
      <c r="AF39" s="25">
        <f t="shared" si="14"/>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127.49804426656831</v>
      </c>
      <c r="AD40" s="29">
        <f t="shared" si="12"/>
        <v>1.4051081438100002</v>
      </c>
      <c r="AE40" s="25">
        <f t="shared" si="22"/>
        <v>13.243681724743192</v>
      </c>
      <c r="AF40" s="25">
        <f t="shared" si="14"/>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127.49804426656831</v>
      </c>
      <c r="AD41" s="29">
        <f t="shared" si="12"/>
        <v>1.4051081438100002</v>
      </c>
      <c r="AE41" s="25">
        <f t="shared" si="22"/>
        <v>13.243681724743192</v>
      </c>
      <c r="AF41" s="25">
        <f t="shared" si="14"/>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127.49804426656831</v>
      </c>
      <c r="AD42" s="29">
        <f t="shared" si="12"/>
        <v>1.4051081438100002</v>
      </c>
      <c r="AE42" s="25">
        <f t="shared" si="22"/>
        <v>13.243681724743192</v>
      </c>
      <c r="AF42" s="25">
        <f t="shared" si="14"/>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127.49804426656831</v>
      </c>
      <c r="AD43" s="29">
        <f t="shared" si="12"/>
        <v>1.0808524183153847</v>
      </c>
      <c r="AE43" s="25">
        <f t="shared" si="22"/>
        <v>13.243681724743192</v>
      </c>
      <c r="AF43" s="25">
        <f t="shared" si="14"/>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2923</v>
      </c>
      <c r="AN43" s="893">
        <f>'Gear &amp; Buffs'!P143</f>
        <v>127.49804426656831</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127.49804426656831</v>
      </c>
      <c r="AD44" s="29">
        <f t="shared" si="12"/>
        <v>1.0808524183153847</v>
      </c>
      <c r="AE44" s="25">
        <f t="shared" si="22"/>
        <v>13.243681724743192</v>
      </c>
      <c r="AF44" s="25">
        <f t="shared" si="14"/>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127.49804426656831</v>
      </c>
      <c r="AD45" s="29">
        <f t="shared" si="12"/>
        <v>1.0808524183153847</v>
      </c>
      <c r="AE45" s="25">
        <f t="shared" si="22"/>
        <v>13.243681724743192</v>
      </c>
      <c r="AF45" s="25">
        <f t="shared" si="14"/>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8">
        <f>(sndeec+AO45)*AR45+(eec+AO45)*(1-AR45)</f>
        <v>13.243681724743192</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127.49804426656831</v>
      </c>
      <c r="AD46" s="29">
        <f t="shared" si="12"/>
        <v>1.0808524183153847</v>
      </c>
      <c r="AE46" s="25">
        <f t="shared" si="22"/>
        <v>13.243681724743192</v>
      </c>
      <c r="AF46" s="25">
        <f t="shared" si="14"/>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2998</v>
      </c>
      <c r="AN46" s="25">
        <f>avginst*fwfactor*bGlobDam*(1+DDmult)*armor</f>
        <v>1014.2539107837594</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127.49804426656831</v>
      </c>
      <c r="AD47" s="29">
        <f t="shared" si="12"/>
        <v>1.0808524183153847</v>
      </c>
      <c r="AE47" s="25">
        <f t="shared" si="22"/>
        <v>13.243681724743192</v>
      </c>
      <c r="AF47" s="25">
        <f t="shared" si="14"/>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127.49804426656831</v>
      </c>
      <c r="AD48" s="29">
        <f t="shared" si="12"/>
        <v>1.0808524183153847</v>
      </c>
      <c r="AE48" s="25">
        <f t="shared" si="22"/>
        <v>13.243681724743192</v>
      </c>
      <c r="AF48" s="25">
        <f t="shared" si="14"/>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127.49804426656831</v>
      </c>
      <c r="AD49" s="29">
        <f t="shared" si="12"/>
        <v>1.0808524183153847</v>
      </c>
      <c r="AE49" s="25">
        <f t="shared" si="22"/>
        <v>13.243681724743192</v>
      </c>
      <c r="AF49" s="25">
        <f t="shared" si="14"/>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9"/>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127.49804426656831</v>
      </c>
      <c r="AD50" s="29">
        <f t="shared" si="12"/>
        <v>1.0808524183153847</v>
      </c>
      <c r="AE50" s="25">
        <f t="shared" si="22"/>
        <v>13.243681724743192</v>
      </c>
      <c r="AF50" s="25">
        <f t="shared" si="14"/>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127.49804426656831</v>
      </c>
      <c r="AD51" s="29">
        <f t="shared" si="12"/>
        <v>1.0808524183153847</v>
      </c>
      <c r="AE51" s="25">
        <f t="shared" si="22"/>
        <v>13.243681724743192</v>
      </c>
      <c r="AF51" s="25">
        <f t="shared" si="14"/>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127.49804426656831</v>
      </c>
      <c r="AD52" s="29">
        <f t="shared" si="12"/>
        <v>1.0808524183153847</v>
      </c>
      <c r="AE52" s="25">
        <f t="shared" si="22"/>
        <v>13.243681724743192</v>
      </c>
      <c r="AF52" s="25">
        <f t="shared" si="14"/>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127.49804426656831</v>
      </c>
      <c r="AD53" s="29">
        <f t="shared" si="12"/>
        <v>1.0808524183153847</v>
      </c>
      <c r="AE53" s="25">
        <f t="shared" si="22"/>
        <v>13.243681724743192</v>
      </c>
      <c r="AF53" s="25">
        <f t="shared" si="14"/>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127.49804426656831</v>
      </c>
      <c r="AD54" s="29">
        <f t="shared" si="12"/>
        <v>1.0808524183153847</v>
      </c>
      <c r="AE54" s="25">
        <f t="shared" si="22"/>
        <v>13.243681724743192</v>
      </c>
      <c r="AF54" s="25">
        <f t="shared" si="14"/>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127.49804426656831</v>
      </c>
      <c r="AD55" s="29">
        <f t="shared" si="12"/>
        <v>1.0808524183153847</v>
      </c>
      <c r="AE55" s="25">
        <f t="shared" si="22"/>
        <v>13.243681724743192</v>
      </c>
      <c r="AF55" s="25">
        <f t="shared" si="14"/>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127.49804426656831</v>
      </c>
      <c r="AD56" s="29">
        <f t="shared" si="12"/>
        <v>1.0808524183153847</v>
      </c>
      <c r="AE56" s="25">
        <f t="shared" si="22"/>
        <v>13.243681724743192</v>
      </c>
      <c r="AF56" s="25">
        <f t="shared" si="14"/>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127.49804426656831</v>
      </c>
      <c r="AD57" s="29">
        <f t="shared" si="12"/>
        <v>1.0808524183153847</v>
      </c>
      <c r="AE57" s="25">
        <f t="shared" si="22"/>
        <v>13.243681724743192</v>
      </c>
      <c r="AF57" s="25">
        <f t="shared" si="14"/>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127.49804426656831</v>
      </c>
      <c r="AD58" s="29">
        <f t="shared" si="12"/>
        <v>1.0808524183153847</v>
      </c>
      <c r="AE58" s="25">
        <f t="shared" si="22"/>
        <v>13.243681724743192</v>
      </c>
      <c r="AF58" s="25">
        <f t="shared" si="14"/>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127.49804426656831</v>
      </c>
      <c r="AD59" s="29">
        <f t="shared" si="12"/>
        <v>1.0808524183153847</v>
      </c>
      <c r="AE59" s="25">
        <f t="shared" si="22"/>
        <v>13.243681724743192</v>
      </c>
      <c r="AF59" s="25">
        <f t="shared" si="14"/>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127.49804426656831</v>
      </c>
      <c r="AD60" s="29">
        <f t="shared" si="12"/>
        <v>1.0808524183153847</v>
      </c>
      <c r="AE60" s="25">
        <f t="shared" si="22"/>
        <v>13.243681724743192</v>
      </c>
      <c r="AF60" s="25">
        <f t="shared" si="14"/>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127.49804426656831</v>
      </c>
      <c r="AD61" s="29">
        <f t="shared" si="12"/>
        <v>1.0808524183153847</v>
      </c>
      <c r="AE61" s="25">
        <f t="shared" si="22"/>
        <v>13.243681724743192</v>
      </c>
      <c r="AF61" s="25">
        <f t="shared" si="14"/>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127.49804426656831</v>
      </c>
      <c r="AD62" s="29">
        <f t="shared" si="12"/>
        <v>1.0808524183153847</v>
      </c>
      <c r="AE62" s="25">
        <f t="shared" si="22"/>
        <v>13.243681724743192</v>
      </c>
      <c r="AF62" s="25">
        <f t="shared" si="14"/>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127.49804426656831</v>
      </c>
      <c r="AD63" s="29">
        <f t="shared" si="12"/>
        <v>1.0808524183153847</v>
      </c>
      <c r="AE63" s="25">
        <f t="shared" si="22"/>
        <v>13.243681724743192</v>
      </c>
      <c r="AF63" s="25">
        <f t="shared" si="14"/>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127.49804426656831</v>
      </c>
      <c r="AD64" s="29">
        <f t="shared" si="12"/>
        <v>1.0808524183153847</v>
      </c>
      <c r="AE64" s="25">
        <f t="shared" si="22"/>
        <v>13.243681724743192</v>
      </c>
      <c r="AF64" s="25">
        <f t="shared" si="14"/>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127.49804426656831</v>
      </c>
      <c r="AD65" s="29">
        <f t="shared" si="12"/>
        <v>1.0808524183153847</v>
      </c>
      <c r="AE65" s="25">
        <f t="shared" si="22"/>
        <v>13.243681724743192</v>
      </c>
      <c r="AF65" s="25">
        <f t="shared" si="14"/>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127.49804426656831</v>
      </c>
      <c r="AD66" s="29">
        <f t="shared" si="12"/>
        <v>1.0808524183153847</v>
      </c>
      <c r="AE66" s="25">
        <f t="shared" si="22"/>
        <v>13.243681724743192</v>
      </c>
      <c r="AF66" s="25">
        <f t="shared" si="14"/>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127.49804426656831</v>
      </c>
      <c r="AD67" s="29">
        <f t="shared" ref="AD67:AD130" si="51">IF($A67&lt;0,0,(1+$AC67/(hasterate*100))*(1+$AS$26/100*AND($J67&gt;0,$J67&lt;=$AT$26))*(1+$AS$35/100*AND($M67&gt;0,$M67&lt;=$AT$35))*(1+0.3*($X67&gt;0)))</f>
        <v>1.0808524183153847</v>
      </c>
      <c r="AE67" s="25">
        <f t="shared" si="22"/>
        <v>13.243681724743192</v>
      </c>
      <c r="AF67" s="25">
        <f t="shared" ref="AF67:AF130" si="52">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127.49804426656831</v>
      </c>
      <c r="AD68" s="29">
        <f t="shared" si="51"/>
        <v>1.0808524183153847</v>
      </c>
      <c r="AE68" s="25">
        <f t="shared" ref="AE68:AE131" si="60">IF($A68&lt;0,0,$AN$45+IF($P68&gt;0,$AN$37*$AL$37,0)+$S68*(60-IF(CharLevel&gt;60,(CharLevel-60)*2,0))*$AL$38+IF($J68=1,$AL$26*-25+IF($AL$39, 30, 0),0)+IF($M68=1,$AL$35*-10,0)+IF(AE67&gt;instcost,AE67-instcost,0))</f>
        <v>13.243681724743192</v>
      </c>
      <c r="AF68" s="25">
        <f t="shared" si="52"/>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127.49804426656831</v>
      </c>
      <c r="AD69" s="29">
        <f t="shared" si="51"/>
        <v>1.0808524183153847</v>
      </c>
      <c r="AE69" s="25">
        <f t="shared" si="60"/>
        <v>13.243681724743192</v>
      </c>
      <c r="AF69" s="25">
        <f t="shared" si="52"/>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127.49804426656831</v>
      </c>
      <c r="AD70" s="29">
        <f t="shared" si="51"/>
        <v>1.0808524183153847</v>
      </c>
      <c r="AE70" s="25">
        <f t="shared" si="60"/>
        <v>13.243681724743192</v>
      </c>
      <c r="AF70" s="25">
        <f t="shared" si="52"/>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127.49804426656831</v>
      </c>
      <c r="AD71" s="29">
        <f t="shared" si="51"/>
        <v>1.0808524183153847</v>
      </c>
      <c r="AE71" s="25">
        <f t="shared" si="60"/>
        <v>13.243681724743192</v>
      </c>
      <c r="AF71" s="25">
        <f t="shared" si="52"/>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127.49804426656831</v>
      </c>
      <c r="AD72" s="29">
        <f t="shared" si="51"/>
        <v>1.0808524183153847</v>
      </c>
      <c r="AE72" s="25">
        <f t="shared" si="60"/>
        <v>13.243681724743192</v>
      </c>
      <c r="AF72" s="25">
        <f t="shared" si="52"/>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127.49804426656831</v>
      </c>
      <c r="AD73" s="29">
        <f t="shared" si="51"/>
        <v>1.0808524183153847</v>
      </c>
      <c r="AE73" s="25">
        <f t="shared" si="60"/>
        <v>13.243681724743192</v>
      </c>
      <c r="AF73" s="25">
        <f t="shared" si="52"/>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127.49804426656831</v>
      </c>
      <c r="AD74" s="29">
        <f t="shared" si="51"/>
        <v>1.0808524183153847</v>
      </c>
      <c r="AE74" s="25">
        <f t="shared" si="60"/>
        <v>13.243681724743192</v>
      </c>
      <c r="AF74" s="25">
        <f t="shared" si="52"/>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127.49804426656831</v>
      </c>
      <c r="AD75" s="29">
        <f t="shared" si="51"/>
        <v>1.0808524183153847</v>
      </c>
      <c r="AE75" s="25">
        <f t="shared" si="60"/>
        <v>13.243681724743192</v>
      </c>
      <c r="AF75" s="25">
        <f t="shared" si="52"/>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127.49804426656831</v>
      </c>
      <c r="AD76" s="29">
        <f t="shared" si="51"/>
        <v>1.0808524183153847</v>
      </c>
      <c r="AE76" s="25">
        <f t="shared" si="60"/>
        <v>13.243681724743192</v>
      </c>
      <c r="AF76" s="25">
        <f t="shared" si="52"/>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127.49804426656831</v>
      </c>
      <c r="AD77" s="29">
        <f t="shared" si="51"/>
        <v>1.0808524183153847</v>
      </c>
      <c r="AE77" s="25">
        <f t="shared" si="60"/>
        <v>13.243681724743192</v>
      </c>
      <c r="AF77" s="25">
        <f t="shared" si="52"/>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127.49804426656831</v>
      </c>
      <c r="AD78" s="29">
        <f t="shared" si="51"/>
        <v>1.0808524183153847</v>
      </c>
      <c r="AE78" s="25">
        <f t="shared" si="60"/>
        <v>13.243681724743192</v>
      </c>
      <c r="AF78" s="25">
        <f t="shared" si="52"/>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127.49804426656831</v>
      </c>
      <c r="AD79" s="29">
        <f t="shared" si="51"/>
        <v>1.0808524183153847</v>
      </c>
      <c r="AE79" s="25">
        <f t="shared" si="60"/>
        <v>13.243681724743192</v>
      </c>
      <c r="AF79" s="25">
        <f t="shared" si="52"/>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127.49804426656831</v>
      </c>
      <c r="AD80" s="29">
        <f t="shared" si="51"/>
        <v>1.0808524183153847</v>
      </c>
      <c r="AE80" s="25">
        <f t="shared" si="60"/>
        <v>13.243681724743192</v>
      </c>
      <c r="AF80" s="25">
        <f t="shared" si="52"/>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127.49804426656831</v>
      </c>
      <c r="AD81" s="29">
        <f t="shared" si="51"/>
        <v>1.0808524183153847</v>
      </c>
      <c r="AE81" s="25">
        <f t="shared" si="60"/>
        <v>13.243681724743192</v>
      </c>
      <c r="AF81" s="25">
        <f t="shared" si="52"/>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127.49804426656831</v>
      </c>
      <c r="AD82" s="29">
        <f t="shared" si="51"/>
        <v>1.0808524183153847</v>
      </c>
      <c r="AE82" s="25">
        <f t="shared" si="60"/>
        <v>13.243681724743192</v>
      </c>
      <c r="AF82" s="25">
        <f t="shared" si="52"/>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127.49804426656831</v>
      </c>
      <c r="AD83" s="29">
        <f t="shared" si="51"/>
        <v>1.0808524183153847</v>
      </c>
      <c r="AE83" s="25">
        <f t="shared" si="60"/>
        <v>13.243681724743192</v>
      </c>
      <c r="AF83" s="25">
        <f t="shared" si="52"/>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127.49804426656831</v>
      </c>
      <c r="AD84" s="29">
        <f t="shared" si="51"/>
        <v>1.0808524183153847</v>
      </c>
      <c r="AE84" s="25">
        <f t="shared" si="60"/>
        <v>13.243681724743192</v>
      </c>
      <c r="AF84" s="25">
        <f t="shared" si="52"/>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127.49804426656831</v>
      </c>
      <c r="AD85" s="29">
        <f t="shared" si="51"/>
        <v>1.0808524183153847</v>
      </c>
      <c r="AE85" s="25">
        <f t="shared" si="60"/>
        <v>13.243681724743192</v>
      </c>
      <c r="AF85" s="25">
        <f t="shared" si="52"/>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127.49804426656831</v>
      </c>
      <c r="AD86" s="29">
        <f t="shared" si="51"/>
        <v>1.0808524183153847</v>
      </c>
      <c r="AE86" s="25">
        <f t="shared" si="60"/>
        <v>13.243681724743192</v>
      </c>
      <c r="AF86" s="25">
        <f t="shared" si="52"/>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127.49804426656831</v>
      </c>
      <c r="AD87" s="29">
        <f t="shared" si="51"/>
        <v>1.0808524183153847</v>
      </c>
      <c r="AE87" s="25">
        <f t="shared" si="60"/>
        <v>13.243681724743192</v>
      </c>
      <c r="AF87" s="25">
        <f t="shared" si="52"/>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127.49804426656831</v>
      </c>
      <c r="AD88" s="29">
        <f t="shared" si="51"/>
        <v>1.0808524183153847</v>
      </c>
      <c r="AE88" s="25">
        <f t="shared" si="60"/>
        <v>13.243681724743192</v>
      </c>
      <c r="AF88" s="25">
        <f t="shared" si="52"/>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127.49804426656831</v>
      </c>
      <c r="AD89" s="29">
        <f t="shared" si="51"/>
        <v>1.0808524183153847</v>
      </c>
      <c r="AE89" s="25">
        <f t="shared" si="60"/>
        <v>13.243681724743192</v>
      </c>
      <c r="AF89" s="25">
        <f t="shared" si="52"/>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127.49804426656831</v>
      </c>
      <c r="AD90" s="29">
        <f t="shared" si="51"/>
        <v>1.0808524183153847</v>
      </c>
      <c r="AE90" s="25">
        <f t="shared" si="60"/>
        <v>13.243681724743192</v>
      </c>
      <c r="AF90" s="25">
        <f t="shared" si="52"/>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127.49804426656831</v>
      </c>
      <c r="AD91" s="29">
        <f t="shared" si="51"/>
        <v>1.0808524183153847</v>
      </c>
      <c r="AE91" s="25">
        <f t="shared" si="60"/>
        <v>13.243681724743192</v>
      </c>
      <c r="AF91" s="25">
        <f t="shared" si="52"/>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127.49804426656831</v>
      </c>
      <c r="AD92" s="29">
        <f t="shared" si="51"/>
        <v>1.0808524183153847</v>
      </c>
      <c r="AE92" s="25">
        <f t="shared" si="60"/>
        <v>13.243681724743192</v>
      </c>
      <c r="AF92" s="25">
        <f t="shared" si="52"/>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127.49804426656831</v>
      </c>
      <c r="AD93" s="29">
        <f t="shared" si="51"/>
        <v>1.0808524183153847</v>
      </c>
      <c r="AE93" s="25">
        <f t="shared" si="60"/>
        <v>13.243681724743192</v>
      </c>
      <c r="AF93" s="25">
        <f t="shared" si="52"/>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127.49804426656831</v>
      </c>
      <c r="AD94" s="29">
        <f t="shared" si="51"/>
        <v>1.0808524183153847</v>
      </c>
      <c r="AE94" s="25">
        <f t="shared" si="60"/>
        <v>13.243681724743192</v>
      </c>
      <c r="AF94" s="25">
        <f t="shared" si="52"/>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127.49804426656831</v>
      </c>
      <c r="AD95" s="29">
        <f t="shared" si="51"/>
        <v>1.0808524183153847</v>
      </c>
      <c r="AE95" s="25">
        <f t="shared" si="60"/>
        <v>13.243681724743192</v>
      </c>
      <c r="AF95" s="25">
        <f t="shared" si="52"/>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127.49804426656831</v>
      </c>
      <c r="AD96" s="29">
        <f t="shared" si="51"/>
        <v>1.0808524183153847</v>
      </c>
      <c r="AE96" s="25">
        <f t="shared" si="60"/>
        <v>13.243681724743192</v>
      </c>
      <c r="AF96" s="25">
        <f t="shared" si="52"/>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127.49804426656831</v>
      </c>
      <c r="AD97" s="29">
        <f t="shared" si="51"/>
        <v>1.0808524183153847</v>
      </c>
      <c r="AE97" s="25">
        <f t="shared" si="60"/>
        <v>13.243681724743192</v>
      </c>
      <c r="AF97" s="25">
        <f t="shared" si="52"/>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127.49804426656831</v>
      </c>
      <c r="AD98" s="29">
        <f t="shared" si="51"/>
        <v>1.0808524183153847</v>
      </c>
      <c r="AE98" s="25">
        <f t="shared" si="60"/>
        <v>13.243681724743192</v>
      </c>
      <c r="AF98" s="25">
        <f t="shared" si="52"/>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127.49804426656831</v>
      </c>
      <c r="AD99" s="29">
        <f t="shared" si="51"/>
        <v>1.0808524183153847</v>
      </c>
      <c r="AE99" s="25">
        <f t="shared" si="60"/>
        <v>13.243681724743192</v>
      </c>
      <c r="AF99" s="25">
        <f t="shared" si="52"/>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127.49804426656831</v>
      </c>
      <c r="AD100" s="29">
        <f t="shared" si="51"/>
        <v>1.0808524183153847</v>
      </c>
      <c r="AE100" s="25">
        <f t="shared" si="60"/>
        <v>13.243681724743192</v>
      </c>
      <c r="AF100" s="25">
        <f t="shared" si="52"/>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127.49804426656831</v>
      </c>
      <c r="AD101" s="29">
        <f t="shared" si="51"/>
        <v>1.0808524183153847</v>
      </c>
      <c r="AE101" s="25">
        <f t="shared" si="60"/>
        <v>13.243681724743192</v>
      </c>
      <c r="AF101" s="25">
        <f t="shared" si="52"/>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127.49804426656831</v>
      </c>
      <c r="AD102" s="29">
        <f t="shared" si="51"/>
        <v>1.0808524183153847</v>
      </c>
      <c r="AE102" s="25">
        <f t="shared" si="60"/>
        <v>13.243681724743192</v>
      </c>
      <c r="AF102" s="25">
        <f t="shared" si="52"/>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127.49804426656831</v>
      </c>
      <c r="AD103" s="29">
        <f t="shared" si="51"/>
        <v>1.0808524183153847</v>
      </c>
      <c r="AE103" s="25">
        <f t="shared" si="60"/>
        <v>13.243681724743192</v>
      </c>
      <c r="AF103" s="25">
        <f t="shared" si="52"/>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127.49804426656831</v>
      </c>
      <c r="AD104" s="29">
        <f t="shared" si="51"/>
        <v>1.0808524183153847</v>
      </c>
      <c r="AE104" s="25">
        <f t="shared" si="60"/>
        <v>13.243681724743192</v>
      </c>
      <c r="AF104" s="25">
        <f t="shared" si="52"/>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127.49804426656831</v>
      </c>
      <c r="AD105" s="29">
        <f t="shared" si="51"/>
        <v>1.0808524183153847</v>
      </c>
      <c r="AE105" s="25">
        <f t="shared" si="60"/>
        <v>13.243681724743192</v>
      </c>
      <c r="AF105" s="25">
        <f t="shared" si="52"/>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127.49804426656831</v>
      </c>
      <c r="AD106" s="29">
        <f t="shared" si="51"/>
        <v>1.0808524183153847</v>
      </c>
      <c r="AE106" s="25">
        <f t="shared" si="60"/>
        <v>13.243681724743192</v>
      </c>
      <c r="AF106" s="25">
        <f t="shared" si="52"/>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127.49804426656831</v>
      </c>
      <c r="AD107" s="29">
        <f t="shared" si="51"/>
        <v>1.0808524183153847</v>
      </c>
      <c r="AE107" s="25">
        <f t="shared" si="60"/>
        <v>13.243681724743192</v>
      </c>
      <c r="AF107" s="25">
        <f t="shared" si="52"/>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127.49804426656831</v>
      </c>
      <c r="AD108" s="29">
        <f t="shared" si="51"/>
        <v>1.0808524183153847</v>
      </c>
      <c r="AE108" s="25">
        <f t="shared" si="60"/>
        <v>13.243681724743192</v>
      </c>
      <c r="AF108" s="25">
        <f t="shared" si="52"/>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127.49804426656831</v>
      </c>
      <c r="AD109" s="29">
        <f t="shared" si="51"/>
        <v>1.0808524183153847</v>
      </c>
      <c r="AE109" s="25">
        <f t="shared" si="60"/>
        <v>13.243681724743192</v>
      </c>
      <c r="AF109" s="25">
        <f t="shared" si="52"/>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127.49804426656831</v>
      </c>
      <c r="AD110" s="29">
        <f t="shared" si="51"/>
        <v>1.0808524183153847</v>
      </c>
      <c r="AE110" s="25">
        <f t="shared" si="60"/>
        <v>13.243681724743192</v>
      </c>
      <c r="AF110" s="25">
        <f t="shared" si="52"/>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127.49804426656831</v>
      </c>
      <c r="AD111" s="29">
        <f t="shared" si="51"/>
        <v>1.0808524183153847</v>
      </c>
      <c r="AE111" s="25">
        <f t="shared" si="60"/>
        <v>13.243681724743192</v>
      </c>
      <c r="AF111" s="25">
        <f t="shared" si="52"/>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127.49804426656831</v>
      </c>
      <c r="AD112" s="29">
        <f t="shared" si="51"/>
        <v>1.0808524183153847</v>
      </c>
      <c r="AE112" s="25">
        <f t="shared" si="60"/>
        <v>13.243681724743192</v>
      </c>
      <c r="AF112" s="25">
        <f t="shared" si="52"/>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127.49804426656831</v>
      </c>
      <c r="AD113" s="29">
        <f t="shared" si="51"/>
        <v>1.0808524183153847</v>
      </c>
      <c r="AE113" s="25">
        <f t="shared" si="60"/>
        <v>13.243681724743192</v>
      </c>
      <c r="AF113" s="25">
        <f t="shared" si="52"/>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127.49804426656831</v>
      </c>
      <c r="AD114" s="29">
        <f t="shared" si="51"/>
        <v>1.0808524183153847</v>
      </c>
      <c r="AE114" s="25">
        <f t="shared" si="60"/>
        <v>13.243681724743192</v>
      </c>
      <c r="AF114" s="25">
        <f t="shared" si="52"/>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127.49804426656831</v>
      </c>
      <c r="AD115" s="29">
        <f t="shared" si="51"/>
        <v>1.0808524183153847</v>
      </c>
      <c r="AE115" s="25">
        <f t="shared" si="60"/>
        <v>13.243681724743192</v>
      </c>
      <c r="AF115" s="25">
        <f t="shared" si="52"/>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127.49804426656831</v>
      </c>
      <c r="AD116" s="29">
        <f t="shared" si="51"/>
        <v>1.0808524183153847</v>
      </c>
      <c r="AE116" s="25">
        <f t="shared" si="60"/>
        <v>13.243681724743192</v>
      </c>
      <c r="AF116" s="25">
        <f t="shared" si="52"/>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127.49804426656831</v>
      </c>
      <c r="AD117" s="29">
        <f t="shared" si="51"/>
        <v>1.0808524183153847</v>
      </c>
      <c r="AE117" s="25">
        <f t="shared" si="60"/>
        <v>13.243681724743192</v>
      </c>
      <c r="AF117" s="25">
        <f t="shared" si="52"/>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127.49804426656831</v>
      </c>
      <c r="AD118" s="29">
        <f t="shared" si="51"/>
        <v>1.0808524183153847</v>
      </c>
      <c r="AE118" s="25">
        <f t="shared" si="60"/>
        <v>13.243681724743192</v>
      </c>
      <c r="AF118" s="25">
        <f t="shared" si="52"/>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127.49804426656831</v>
      </c>
      <c r="AD119" s="29">
        <f t="shared" si="51"/>
        <v>1.0808524183153847</v>
      </c>
      <c r="AE119" s="25">
        <f t="shared" si="60"/>
        <v>13.243681724743192</v>
      </c>
      <c r="AF119" s="25">
        <f t="shared" si="52"/>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127.49804426656831</v>
      </c>
      <c r="AD120" s="29">
        <f t="shared" si="51"/>
        <v>1.0808524183153847</v>
      </c>
      <c r="AE120" s="25">
        <f t="shared" si="60"/>
        <v>13.243681724743192</v>
      </c>
      <c r="AF120" s="25">
        <f t="shared" si="52"/>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127.49804426656831</v>
      </c>
      <c r="AD121" s="29">
        <f t="shared" si="51"/>
        <v>1.0808524183153847</v>
      </c>
      <c r="AE121" s="25">
        <f t="shared" si="60"/>
        <v>13.243681724743192</v>
      </c>
      <c r="AF121" s="25">
        <f t="shared" si="52"/>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127.49804426656831</v>
      </c>
      <c r="AD122" s="29">
        <f t="shared" si="51"/>
        <v>1.0808524183153847</v>
      </c>
      <c r="AE122" s="25">
        <f t="shared" si="60"/>
        <v>13.243681724743192</v>
      </c>
      <c r="AF122" s="25">
        <f t="shared" si="52"/>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607.49804426656829</v>
      </c>
      <c r="AD123" s="29">
        <f t="shared" si="51"/>
        <v>1.6622911946613885</v>
      </c>
      <c r="AE123" s="25">
        <f t="shared" si="60"/>
        <v>-11.756318275256808</v>
      </c>
      <c r="AF123" s="25">
        <f t="shared" si="52"/>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607.49804426656829</v>
      </c>
      <c r="AD124" s="29">
        <f t="shared" si="51"/>
        <v>1.6622911946613885</v>
      </c>
      <c r="AE124" s="25">
        <f t="shared" si="60"/>
        <v>13.243681724743192</v>
      </c>
      <c r="AF124" s="25">
        <f t="shared" si="52"/>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607.49804426656829</v>
      </c>
      <c r="AD125" s="29">
        <f t="shared" si="51"/>
        <v>1.6622911946613885</v>
      </c>
      <c r="AE125" s="25">
        <f t="shared" si="60"/>
        <v>13.243681724743192</v>
      </c>
      <c r="AF125" s="25">
        <f t="shared" si="52"/>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607.49804426656829</v>
      </c>
      <c r="AD126" s="29">
        <f t="shared" si="51"/>
        <v>1.6622911946613885</v>
      </c>
      <c r="AE126" s="25">
        <f t="shared" si="60"/>
        <v>13.243681724743192</v>
      </c>
      <c r="AF126" s="25">
        <f t="shared" si="52"/>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607.49804426656829</v>
      </c>
      <c r="AD127" s="29">
        <f t="shared" si="51"/>
        <v>1.6622911946613885</v>
      </c>
      <c r="AE127" s="25">
        <f t="shared" si="60"/>
        <v>13.243681724743192</v>
      </c>
      <c r="AF127" s="25">
        <f t="shared" si="52"/>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607.49804426656829</v>
      </c>
      <c r="AD128" s="29">
        <f t="shared" si="51"/>
        <v>1.6622911946613885</v>
      </c>
      <c r="AE128" s="25">
        <f t="shared" si="60"/>
        <v>13.243681724743192</v>
      </c>
      <c r="AF128" s="25">
        <f t="shared" si="52"/>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607.49804426656829</v>
      </c>
      <c r="AD129" s="29">
        <f t="shared" si="51"/>
        <v>1.6622911946613885</v>
      </c>
      <c r="AE129" s="25">
        <f t="shared" si="60"/>
        <v>13.243681724743192</v>
      </c>
      <c r="AF129" s="25">
        <f t="shared" si="52"/>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607.49804426656829</v>
      </c>
      <c r="AD130" s="29">
        <f t="shared" si="51"/>
        <v>1.6622911946613885</v>
      </c>
      <c r="AE130" s="25">
        <f t="shared" si="60"/>
        <v>13.243681724743192</v>
      </c>
      <c r="AF130" s="25">
        <f t="shared" si="52"/>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607.49804426656829</v>
      </c>
      <c r="AD131" s="29">
        <f t="shared" ref="AD131:AD194" si="86">IF($A131&lt;0,0,(1+$AC131/(hasterate*100))*(1+$AS$26/100*AND($J131&gt;0,$J131&lt;=$AT$26))*(1+$AS$35/100*AND($M131&gt;0,$M131&lt;=$AT$35))*(1+0.3*($X131&gt;0)))</f>
        <v>1.6622911946613885</v>
      </c>
      <c r="AE131" s="25">
        <f t="shared" si="60"/>
        <v>13.243681724743192</v>
      </c>
      <c r="AF131" s="25">
        <f t="shared" ref="AF131:AF194" si="87">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607.49804426656829</v>
      </c>
      <c r="AD132" s="29">
        <f t="shared" si="86"/>
        <v>1.6622911946613885</v>
      </c>
      <c r="AE132" s="25">
        <f t="shared" ref="AE132:AE195" si="95">IF($A132&lt;0,0,$AN$45+IF($P132&gt;0,$AN$37*$AL$37,0)+$S132*(60-IF(CharLevel&gt;60,(CharLevel-60)*2,0))*$AL$38+IF($J132=1,$AL$26*-25+IF($AL$39, 30, 0),0)+IF($M132=1,$AL$35*-10,0)+IF(AE131&gt;instcost,AE131-instcost,0))</f>
        <v>13.243681724743192</v>
      </c>
      <c r="AF132" s="25">
        <f t="shared" si="87"/>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607.49804426656829</v>
      </c>
      <c r="AD133" s="29">
        <f t="shared" si="86"/>
        <v>1.6622911946613885</v>
      </c>
      <c r="AE133" s="25">
        <f t="shared" si="95"/>
        <v>13.243681724743192</v>
      </c>
      <c r="AF133" s="25">
        <f t="shared" si="87"/>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607.49804426656829</v>
      </c>
      <c r="AD134" s="29">
        <f t="shared" si="86"/>
        <v>1.6622911946613885</v>
      </c>
      <c r="AE134" s="25">
        <f t="shared" si="95"/>
        <v>13.243681724743192</v>
      </c>
      <c r="AF134" s="25">
        <f t="shared" si="87"/>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607.49804426656829</v>
      </c>
      <c r="AD135" s="29">
        <f t="shared" si="86"/>
        <v>1.6622911946613885</v>
      </c>
      <c r="AE135" s="25">
        <f t="shared" si="95"/>
        <v>13.243681724743192</v>
      </c>
      <c r="AF135" s="25">
        <f t="shared" si="87"/>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607.49804426656829</v>
      </c>
      <c r="AD136" s="29">
        <f t="shared" si="86"/>
        <v>1.6622911946613885</v>
      </c>
      <c r="AE136" s="25">
        <f t="shared" si="95"/>
        <v>13.243681724743192</v>
      </c>
      <c r="AF136" s="25">
        <f t="shared" si="87"/>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607.49804426656829</v>
      </c>
      <c r="AD137" s="29">
        <f t="shared" si="86"/>
        <v>1.6622911946613885</v>
      </c>
      <c r="AE137" s="25">
        <f t="shared" si="95"/>
        <v>13.243681724743192</v>
      </c>
      <c r="AF137" s="25">
        <f t="shared" si="87"/>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207.49804426656831</v>
      </c>
      <c r="AD138" s="29">
        <f t="shared" si="86"/>
        <v>1.1315841256324579</v>
      </c>
      <c r="AE138" s="25">
        <f t="shared" si="95"/>
        <v>13.243681724743192</v>
      </c>
      <c r="AF138" s="25">
        <f t="shared" si="87"/>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207.49804426656831</v>
      </c>
      <c r="AD139" s="29">
        <f t="shared" si="86"/>
        <v>1.1315841256324579</v>
      </c>
      <c r="AE139" s="25">
        <f t="shared" si="95"/>
        <v>13.243681724743192</v>
      </c>
      <c r="AF139" s="25">
        <f t="shared" si="87"/>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207.49804426656831</v>
      </c>
      <c r="AD140" s="29">
        <f t="shared" si="86"/>
        <v>1.1315841256324579</v>
      </c>
      <c r="AE140" s="25">
        <f t="shared" si="95"/>
        <v>13.243681724743192</v>
      </c>
      <c r="AF140" s="25">
        <f t="shared" si="87"/>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207.49804426656831</v>
      </c>
      <c r="AD141" s="29">
        <f t="shared" si="86"/>
        <v>1.1315841256324579</v>
      </c>
      <c r="AE141" s="25">
        <f t="shared" si="95"/>
        <v>13.243681724743192</v>
      </c>
      <c r="AF141" s="25">
        <f t="shared" si="87"/>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207.49804426656831</v>
      </c>
      <c r="AD142" s="29">
        <f t="shared" si="86"/>
        <v>1.1315841256324579</v>
      </c>
      <c r="AE142" s="25">
        <f t="shared" si="95"/>
        <v>13.243681724743192</v>
      </c>
      <c r="AF142" s="25">
        <f t="shared" si="87"/>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207.49804426656831</v>
      </c>
      <c r="AD143" s="29">
        <f t="shared" si="86"/>
        <v>1.1315841256324579</v>
      </c>
      <c r="AE143" s="25">
        <f t="shared" si="95"/>
        <v>13.243681724743192</v>
      </c>
      <c r="AF143" s="25">
        <f t="shared" si="87"/>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207.49804426656831</v>
      </c>
      <c r="AD144" s="29">
        <f t="shared" si="86"/>
        <v>1.1315841256324579</v>
      </c>
      <c r="AE144" s="25">
        <f t="shared" si="95"/>
        <v>13.243681724743192</v>
      </c>
      <c r="AF144" s="25">
        <f t="shared" si="87"/>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207.49804426656831</v>
      </c>
      <c r="AD145" s="29">
        <f t="shared" si="86"/>
        <v>1.1315841256324579</v>
      </c>
      <c r="AE145" s="25">
        <f t="shared" si="95"/>
        <v>13.243681724743192</v>
      </c>
      <c r="AF145" s="25">
        <f t="shared" si="87"/>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207.49804426656831</v>
      </c>
      <c r="AD146" s="29">
        <f t="shared" si="86"/>
        <v>1.1315841256324579</v>
      </c>
      <c r="AE146" s="25">
        <f t="shared" si="95"/>
        <v>13.243681724743192</v>
      </c>
      <c r="AF146" s="25">
        <f t="shared" si="87"/>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207.49804426656831</v>
      </c>
      <c r="AD147" s="29">
        <f t="shared" si="86"/>
        <v>1.1315841256324579</v>
      </c>
      <c r="AE147" s="25">
        <f t="shared" si="95"/>
        <v>13.243681724743192</v>
      </c>
      <c r="AF147" s="25">
        <f t="shared" si="87"/>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207.49804426656831</v>
      </c>
      <c r="AD148" s="29">
        <f t="shared" si="86"/>
        <v>1.1315841256324579</v>
      </c>
      <c r="AE148" s="25">
        <f t="shared" si="95"/>
        <v>13.243681724743192</v>
      </c>
      <c r="AF148" s="25">
        <f t="shared" si="87"/>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207.49804426656831</v>
      </c>
      <c r="AD149" s="29">
        <f t="shared" si="86"/>
        <v>1.1315841256324579</v>
      </c>
      <c r="AE149" s="25">
        <f t="shared" si="95"/>
        <v>13.243681724743192</v>
      </c>
      <c r="AF149" s="25">
        <f t="shared" si="87"/>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207.49804426656831</v>
      </c>
      <c r="AD150" s="29">
        <f t="shared" si="86"/>
        <v>1.1315841256324579</v>
      </c>
      <c r="AE150" s="25">
        <f t="shared" si="95"/>
        <v>13.243681724743192</v>
      </c>
      <c r="AF150" s="25">
        <f t="shared" si="87"/>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207.49804426656831</v>
      </c>
      <c r="AD151" s="29">
        <f t="shared" si="86"/>
        <v>1.1315841256324579</v>
      </c>
      <c r="AE151" s="25">
        <f t="shared" si="95"/>
        <v>13.243681724743192</v>
      </c>
      <c r="AF151" s="25">
        <f t="shared" si="87"/>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207.49804426656831</v>
      </c>
      <c r="AD152" s="29">
        <f t="shared" si="86"/>
        <v>1.1315841256324579</v>
      </c>
      <c r="AE152" s="25">
        <f t="shared" si="95"/>
        <v>13.243681724743192</v>
      </c>
      <c r="AF152" s="25">
        <f t="shared" si="87"/>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127.49804426656831</v>
      </c>
      <c r="AD153" s="29">
        <f t="shared" si="86"/>
        <v>1.0808524183153847</v>
      </c>
      <c r="AE153" s="25">
        <f t="shared" si="95"/>
        <v>13.243681724743192</v>
      </c>
      <c r="AF153" s="25">
        <f t="shared" si="87"/>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127.49804426656831</v>
      </c>
      <c r="AD154" s="29">
        <f t="shared" si="86"/>
        <v>1.0808524183153847</v>
      </c>
      <c r="AE154" s="25">
        <f t="shared" si="95"/>
        <v>13.243681724743192</v>
      </c>
      <c r="AF154" s="25">
        <f t="shared" si="87"/>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127.49804426656831</v>
      </c>
      <c r="AD155" s="29">
        <f t="shared" si="86"/>
        <v>1.0808524183153847</v>
      </c>
      <c r="AE155" s="25">
        <f t="shared" si="95"/>
        <v>13.243681724743192</v>
      </c>
      <c r="AF155" s="25">
        <f t="shared" si="87"/>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127.49804426656831</v>
      </c>
      <c r="AD156" s="29">
        <f t="shared" si="86"/>
        <v>1.0808524183153847</v>
      </c>
      <c r="AE156" s="25">
        <f t="shared" si="95"/>
        <v>13.243681724743192</v>
      </c>
      <c r="AF156" s="25">
        <f t="shared" si="87"/>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127.49804426656831</v>
      </c>
      <c r="AD157" s="29">
        <f t="shared" si="86"/>
        <v>1.0808524183153847</v>
      </c>
      <c r="AE157" s="25">
        <f t="shared" si="95"/>
        <v>13.243681724743192</v>
      </c>
      <c r="AF157" s="25">
        <f t="shared" si="87"/>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127.49804426656831</v>
      </c>
      <c r="AD158" s="29">
        <f t="shared" si="86"/>
        <v>1.0808524183153847</v>
      </c>
      <c r="AE158" s="25">
        <f t="shared" si="95"/>
        <v>13.243681724743192</v>
      </c>
      <c r="AF158" s="25">
        <f t="shared" si="87"/>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127.49804426656831</v>
      </c>
      <c r="AD159" s="29">
        <f t="shared" si="86"/>
        <v>1.0808524183153847</v>
      </c>
      <c r="AE159" s="25">
        <f t="shared" si="95"/>
        <v>13.243681724743192</v>
      </c>
      <c r="AF159" s="25">
        <f t="shared" si="87"/>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127.49804426656831</v>
      </c>
      <c r="AD160" s="29">
        <f t="shared" si="86"/>
        <v>1.0808524183153847</v>
      </c>
      <c r="AE160" s="25">
        <f t="shared" si="95"/>
        <v>13.243681724743192</v>
      </c>
      <c r="AF160" s="25">
        <f t="shared" si="87"/>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127.49804426656831</v>
      </c>
      <c r="AD161" s="29">
        <f t="shared" si="86"/>
        <v>1.0808524183153847</v>
      </c>
      <c r="AE161" s="25">
        <f t="shared" si="95"/>
        <v>13.243681724743192</v>
      </c>
      <c r="AF161" s="25">
        <f t="shared" si="87"/>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127.49804426656831</v>
      </c>
      <c r="AD162" s="29">
        <f t="shared" si="86"/>
        <v>1.0808524183153847</v>
      </c>
      <c r="AE162" s="25">
        <f t="shared" si="95"/>
        <v>13.243681724743192</v>
      </c>
      <c r="AF162" s="25">
        <f t="shared" si="87"/>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127.49804426656831</v>
      </c>
      <c r="AD163" s="29">
        <f t="shared" si="86"/>
        <v>1.0808524183153847</v>
      </c>
      <c r="AE163" s="25">
        <f t="shared" si="95"/>
        <v>13.243681724743192</v>
      </c>
      <c r="AF163" s="25">
        <f t="shared" si="87"/>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127.49804426656831</v>
      </c>
      <c r="AD164" s="29">
        <f t="shared" si="86"/>
        <v>1.0808524183153847</v>
      </c>
      <c r="AE164" s="25">
        <f t="shared" si="95"/>
        <v>13.243681724743192</v>
      </c>
      <c r="AF164" s="25">
        <f t="shared" si="87"/>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127.49804426656831</v>
      </c>
      <c r="AD165" s="29">
        <f t="shared" si="86"/>
        <v>1.0808524183153847</v>
      </c>
      <c r="AE165" s="25">
        <f t="shared" si="95"/>
        <v>13.243681724743192</v>
      </c>
      <c r="AF165" s="25">
        <f t="shared" si="87"/>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127.49804426656831</v>
      </c>
      <c r="AD166" s="29">
        <f t="shared" si="86"/>
        <v>1.0808524183153847</v>
      </c>
      <c r="AE166" s="25">
        <f t="shared" si="95"/>
        <v>13.243681724743192</v>
      </c>
      <c r="AF166" s="25">
        <f t="shared" si="87"/>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127.49804426656831</v>
      </c>
      <c r="AD167" s="29">
        <f t="shared" si="86"/>
        <v>1.0808524183153847</v>
      </c>
      <c r="AE167" s="25">
        <f t="shared" si="95"/>
        <v>13.243681724743192</v>
      </c>
      <c r="AF167" s="25">
        <f t="shared" si="87"/>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127.49804426656831</v>
      </c>
      <c r="AD168" s="29">
        <f t="shared" si="86"/>
        <v>1.0808524183153847</v>
      </c>
      <c r="AE168" s="25">
        <f t="shared" si="95"/>
        <v>13.243681724743192</v>
      </c>
      <c r="AF168" s="25">
        <f t="shared" si="87"/>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127.49804426656831</v>
      </c>
      <c r="AD169" s="29">
        <f t="shared" si="86"/>
        <v>1.0808524183153847</v>
      </c>
      <c r="AE169" s="25">
        <f t="shared" si="95"/>
        <v>13.243681724743192</v>
      </c>
      <c r="AF169" s="25">
        <f t="shared" si="87"/>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127.49804426656831</v>
      </c>
      <c r="AD170" s="29">
        <f t="shared" si="86"/>
        <v>1.0808524183153847</v>
      </c>
      <c r="AE170" s="25">
        <f t="shared" si="95"/>
        <v>13.243681724743192</v>
      </c>
      <c r="AF170" s="25">
        <f t="shared" si="87"/>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127.49804426656831</v>
      </c>
      <c r="AD171" s="29">
        <f t="shared" si="86"/>
        <v>1.0808524183153847</v>
      </c>
      <c r="AE171" s="25">
        <f t="shared" si="95"/>
        <v>13.243681724743192</v>
      </c>
      <c r="AF171" s="25">
        <f t="shared" si="87"/>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127.49804426656831</v>
      </c>
      <c r="AD172" s="29">
        <f t="shared" si="86"/>
        <v>1.0808524183153847</v>
      </c>
      <c r="AE172" s="25">
        <f t="shared" si="95"/>
        <v>13.243681724743192</v>
      </c>
      <c r="AF172" s="25">
        <f t="shared" si="87"/>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127.49804426656831</v>
      </c>
      <c r="AD173" s="29">
        <f t="shared" si="86"/>
        <v>1.0808524183153847</v>
      </c>
      <c r="AE173" s="25">
        <f t="shared" si="95"/>
        <v>13.243681724743192</v>
      </c>
      <c r="AF173" s="25">
        <f t="shared" si="87"/>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127.49804426656831</v>
      </c>
      <c r="AD174" s="29">
        <f t="shared" si="86"/>
        <v>1.0808524183153847</v>
      </c>
      <c r="AE174" s="25">
        <f t="shared" si="95"/>
        <v>13.243681724743192</v>
      </c>
      <c r="AF174" s="25">
        <f t="shared" si="87"/>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127.49804426656831</v>
      </c>
      <c r="AD175" s="29">
        <f t="shared" si="86"/>
        <v>1.0808524183153847</v>
      </c>
      <c r="AE175" s="25">
        <f t="shared" si="95"/>
        <v>13.243681724743192</v>
      </c>
      <c r="AF175" s="25">
        <f t="shared" si="87"/>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127.49804426656831</v>
      </c>
      <c r="AD176" s="29">
        <f t="shared" si="86"/>
        <v>1.0808524183153847</v>
      </c>
      <c r="AE176" s="25">
        <f t="shared" si="95"/>
        <v>13.243681724743192</v>
      </c>
      <c r="AF176" s="25">
        <f t="shared" si="87"/>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127.49804426656831</v>
      </c>
      <c r="AD177" s="29">
        <f t="shared" si="86"/>
        <v>1.0808524183153847</v>
      </c>
      <c r="AE177" s="25">
        <f t="shared" si="95"/>
        <v>13.243681724743192</v>
      </c>
      <c r="AF177" s="25">
        <f t="shared" si="87"/>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127.49804426656831</v>
      </c>
      <c r="AD178" s="29">
        <f t="shared" si="86"/>
        <v>1.0808524183153847</v>
      </c>
      <c r="AE178" s="25">
        <f t="shared" si="95"/>
        <v>13.243681724743192</v>
      </c>
      <c r="AF178" s="25">
        <f t="shared" si="87"/>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127.49804426656831</v>
      </c>
      <c r="AD179" s="29">
        <f t="shared" si="86"/>
        <v>1.0808524183153847</v>
      </c>
      <c r="AE179" s="25">
        <f t="shared" si="95"/>
        <v>13.243681724743192</v>
      </c>
      <c r="AF179" s="25">
        <f t="shared" si="87"/>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127.49804426656831</v>
      </c>
      <c r="AD180" s="29">
        <f t="shared" si="86"/>
        <v>1.0808524183153847</v>
      </c>
      <c r="AE180" s="25">
        <f t="shared" si="95"/>
        <v>13.243681724743192</v>
      </c>
      <c r="AF180" s="25">
        <f t="shared" si="87"/>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127.49804426656831</v>
      </c>
      <c r="AD181" s="29">
        <f t="shared" si="86"/>
        <v>1.0808524183153847</v>
      </c>
      <c r="AE181" s="25">
        <f t="shared" si="95"/>
        <v>13.243681724743192</v>
      </c>
      <c r="AF181" s="25">
        <f t="shared" si="87"/>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127.49804426656831</v>
      </c>
      <c r="AD182" s="29">
        <f t="shared" si="86"/>
        <v>1.0808524183153847</v>
      </c>
      <c r="AE182" s="25">
        <f t="shared" si="95"/>
        <v>13.243681724743192</v>
      </c>
      <c r="AF182" s="25">
        <f t="shared" si="87"/>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127.49804426656831</v>
      </c>
      <c r="AD183" s="29">
        <f t="shared" si="86"/>
        <v>1.0808524183153847</v>
      </c>
      <c r="AE183" s="25">
        <f t="shared" si="95"/>
        <v>13.243681724743192</v>
      </c>
      <c r="AF183" s="25">
        <f t="shared" si="87"/>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127.49804426656831</v>
      </c>
      <c r="AD184" s="29">
        <f t="shared" si="86"/>
        <v>1.0808524183153847</v>
      </c>
      <c r="AE184" s="25">
        <f t="shared" si="95"/>
        <v>13.243681724743192</v>
      </c>
      <c r="AF184" s="25">
        <f t="shared" si="87"/>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127.49804426656831</v>
      </c>
      <c r="AD185" s="29">
        <f t="shared" si="86"/>
        <v>1.0808524183153847</v>
      </c>
      <c r="AE185" s="25">
        <f t="shared" si="95"/>
        <v>13.243681724743192</v>
      </c>
      <c r="AF185" s="25">
        <f t="shared" si="87"/>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127.49804426656831</v>
      </c>
      <c r="AD186" s="29">
        <f t="shared" si="86"/>
        <v>1.0808524183153847</v>
      </c>
      <c r="AE186" s="25">
        <f t="shared" si="95"/>
        <v>13.243681724743192</v>
      </c>
      <c r="AF186" s="25">
        <f t="shared" si="87"/>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127.49804426656831</v>
      </c>
      <c r="AD187" s="29">
        <f t="shared" si="86"/>
        <v>1.0808524183153847</v>
      </c>
      <c r="AE187" s="25">
        <f t="shared" si="95"/>
        <v>13.243681724743192</v>
      </c>
      <c r="AF187" s="25">
        <f t="shared" si="87"/>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127.49804426656831</v>
      </c>
      <c r="AD188" s="29">
        <f t="shared" si="86"/>
        <v>1.0808524183153847</v>
      </c>
      <c r="AE188" s="25">
        <f t="shared" si="95"/>
        <v>13.243681724743192</v>
      </c>
      <c r="AF188" s="25">
        <f t="shared" si="87"/>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127.49804426656831</v>
      </c>
      <c r="AD189" s="29">
        <f t="shared" si="86"/>
        <v>1.0808524183153847</v>
      </c>
      <c r="AE189" s="25">
        <f t="shared" si="95"/>
        <v>13.243681724743192</v>
      </c>
      <c r="AF189" s="25">
        <f t="shared" si="87"/>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127.49804426656831</v>
      </c>
      <c r="AD190" s="29">
        <f t="shared" si="86"/>
        <v>1.0808524183153847</v>
      </c>
      <c r="AE190" s="25">
        <f t="shared" si="95"/>
        <v>13.243681724743192</v>
      </c>
      <c r="AF190" s="25">
        <f t="shared" si="87"/>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127.49804426656831</v>
      </c>
      <c r="AD191" s="29">
        <f t="shared" si="86"/>
        <v>1.0808524183153847</v>
      </c>
      <c r="AE191" s="25">
        <f t="shared" si="95"/>
        <v>13.243681724743192</v>
      </c>
      <c r="AF191" s="25">
        <f t="shared" si="87"/>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127.49804426656831</v>
      </c>
      <c r="AD192" s="29">
        <f t="shared" si="86"/>
        <v>1.0808524183153847</v>
      </c>
      <c r="AE192" s="25">
        <f t="shared" si="95"/>
        <v>13.243681724743192</v>
      </c>
      <c r="AF192" s="25">
        <f t="shared" si="87"/>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127.49804426656831</v>
      </c>
      <c r="AD193" s="29">
        <f t="shared" si="86"/>
        <v>1.0808524183153847</v>
      </c>
      <c r="AE193" s="25">
        <f t="shared" si="95"/>
        <v>13.243681724743192</v>
      </c>
      <c r="AF193" s="25">
        <f t="shared" si="87"/>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127.49804426656831</v>
      </c>
      <c r="AD194" s="29">
        <f t="shared" si="86"/>
        <v>1.0808524183153847</v>
      </c>
      <c r="AE194" s="25">
        <f t="shared" si="95"/>
        <v>13.243681724743192</v>
      </c>
      <c r="AF194" s="25">
        <f t="shared" si="87"/>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127.49804426656831</v>
      </c>
      <c r="AD195" s="29">
        <f t="shared" ref="AD195:AD258" si="121">IF($A195&lt;0,0,(1+$AC195/(hasterate*100))*(1+$AS$26/100*AND($J195&gt;0,$J195&lt;=$AT$26))*(1+$AS$35/100*AND($M195&gt;0,$M195&lt;=$AT$35))*(1+0.3*($X195&gt;0)))</f>
        <v>1.0808524183153847</v>
      </c>
      <c r="AE195" s="25">
        <f t="shared" si="95"/>
        <v>13.243681724743192</v>
      </c>
      <c r="AF195" s="25">
        <f t="shared" ref="AF195:AF258" si="122">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127.49804426656831</v>
      </c>
      <c r="AD196" s="29">
        <f t="shared" si="121"/>
        <v>1.0808524183153847</v>
      </c>
      <c r="AE196" s="25">
        <f t="shared" ref="AE196:AE259" si="130">IF($A196&lt;0,0,$AN$45+IF($P196&gt;0,$AN$37*$AL$37,0)+$S196*(60-IF(CharLevel&gt;60,(CharLevel-60)*2,0))*$AL$38+IF($J196=1,$AL$26*-25+IF($AL$39, 30, 0),0)+IF($M196=1,$AL$35*-10,0)+IF(AE195&gt;instcost,AE195-instcost,0))</f>
        <v>13.243681724743192</v>
      </c>
      <c r="AF196" s="25">
        <f t="shared" si="122"/>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127.49804426656831</v>
      </c>
      <c r="AD197" s="29">
        <f t="shared" si="121"/>
        <v>1.0808524183153847</v>
      </c>
      <c r="AE197" s="25">
        <f t="shared" si="130"/>
        <v>13.243681724743192</v>
      </c>
      <c r="AF197" s="25">
        <f t="shared" si="122"/>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127.49804426656831</v>
      </c>
      <c r="AD198" s="29">
        <f t="shared" si="121"/>
        <v>1.0808524183153847</v>
      </c>
      <c r="AE198" s="25">
        <f t="shared" si="130"/>
        <v>13.243681724743192</v>
      </c>
      <c r="AF198" s="25">
        <f t="shared" si="122"/>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127.49804426656831</v>
      </c>
      <c r="AD199" s="29">
        <f t="shared" si="121"/>
        <v>1.0808524183153847</v>
      </c>
      <c r="AE199" s="25">
        <f t="shared" si="130"/>
        <v>13.243681724743192</v>
      </c>
      <c r="AF199" s="25">
        <f t="shared" si="122"/>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127.49804426656831</v>
      </c>
      <c r="AD200" s="29">
        <f t="shared" si="121"/>
        <v>1.0808524183153847</v>
      </c>
      <c r="AE200" s="25">
        <f t="shared" si="130"/>
        <v>13.243681724743192</v>
      </c>
      <c r="AF200" s="25">
        <f t="shared" si="122"/>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127.49804426656831</v>
      </c>
      <c r="AD201" s="29">
        <f t="shared" si="121"/>
        <v>1.0808524183153847</v>
      </c>
      <c r="AE201" s="25">
        <f t="shared" si="130"/>
        <v>13.243681724743192</v>
      </c>
      <c r="AF201" s="25">
        <f t="shared" si="122"/>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127.49804426656831</v>
      </c>
      <c r="AD202" s="29">
        <f t="shared" si="121"/>
        <v>1.0808524183153847</v>
      </c>
      <c r="AE202" s="25">
        <f t="shared" si="130"/>
        <v>13.243681724743192</v>
      </c>
      <c r="AF202" s="25">
        <f t="shared" si="122"/>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127.49804426656831</v>
      </c>
      <c r="AD203" s="29">
        <f t="shared" si="121"/>
        <v>1.0808524183153847</v>
      </c>
      <c r="AE203" s="25">
        <f t="shared" si="130"/>
        <v>13.243681724743192</v>
      </c>
      <c r="AF203" s="25">
        <f t="shared" si="122"/>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127.49804426656831</v>
      </c>
      <c r="AD204" s="29">
        <f t="shared" si="121"/>
        <v>1.0808524183153847</v>
      </c>
      <c r="AE204" s="25">
        <f t="shared" si="130"/>
        <v>13.243681724743192</v>
      </c>
      <c r="AF204" s="25">
        <f t="shared" si="122"/>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127.49804426656831</v>
      </c>
      <c r="AD205" s="29">
        <f t="shared" si="121"/>
        <v>1.0808524183153847</v>
      </c>
      <c r="AE205" s="25">
        <f t="shared" si="130"/>
        <v>13.243681724743192</v>
      </c>
      <c r="AF205" s="25">
        <f t="shared" si="122"/>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127.49804426656831</v>
      </c>
      <c r="AD206" s="29">
        <f t="shared" si="121"/>
        <v>1.0808524183153847</v>
      </c>
      <c r="AE206" s="25">
        <f t="shared" si="130"/>
        <v>13.243681724743192</v>
      </c>
      <c r="AF206" s="25">
        <f t="shared" si="122"/>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127.49804426656831</v>
      </c>
      <c r="AD207" s="29">
        <f t="shared" si="121"/>
        <v>1.0808524183153847</v>
      </c>
      <c r="AE207" s="25">
        <f t="shared" si="130"/>
        <v>13.243681724743192</v>
      </c>
      <c r="AF207" s="25">
        <f t="shared" si="122"/>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127.49804426656831</v>
      </c>
      <c r="AD208" s="29">
        <f t="shared" si="121"/>
        <v>1.0808524183153847</v>
      </c>
      <c r="AE208" s="25">
        <f t="shared" si="130"/>
        <v>13.243681724743192</v>
      </c>
      <c r="AF208" s="25">
        <f t="shared" si="122"/>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127.49804426656831</v>
      </c>
      <c r="AD209" s="29">
        <f t="shared" si="121"/>
        <v>1.0808524183153847</v>
      </c>
      <c r="AE209" s="25">
        <f t="shared" si="130"/>
        <v>13.243681724743192</v>
      </c>
      <c r="AF209" s="25">
        <f t="shared" si="122"/>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127.49804426656831</v>
      </c>
      <c r="AD210" s="29">
        <f t="shared" si="121"/>
        <v>1.0808524183153847</v>
      </c>
      <c r="AE210" s="25">
        <f t="shared" si="130"/>
        <v>13.243681724743192</v>
      </c>
      <c r="AF210" s="25">
        <f t="shared" si="122"/>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127.49804426656831</v>
      </c>
      <c r="AD211" s="29">
        <f t="shared" si="121"/>
        <v>1.0808524183153847</v>
      </c>
      <c r="AE211" s="25">
        <f t="shared" si="130"/>
        <v>13.243681724743192</v>
      </c>
      <c r="AF211" s="25">
        <f t="shared" si="122"/>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127.49804426656831</v>
      </c>
      <c r="AD212" s="29">
        <f t="shared" si="121"/>
        <v>1.0808524183153847</v>
      </c>
      <c r="AE212" s="25">
        <f t="shared" si="130"/>
        <v>13.243681724743192</v>
      </c>
      <c r="AF212" s="25">
        <f t="shared" si="122"/>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127.49804426656831</v>
      </c>
      <c r="AD213" s="29">
        <f t="shared" si="121"/>
        <v>1.0808524183153847</v>
      </c>
      <c r="AE213" s="25">
        <f t="shared" si="130"/>
        <v>13.243681724743192</v>
      </c>
      <c r="AF213" s="25">
        <f t="shared" si="122"/>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127.49804426656831</v>
      </c>
      <c r="AD214" s="29">
        <f t="shared" si="121"/>
        <v>1.0808524183153847</v>
      </c>
      <c r="AE214" s="25">
        <f t="shared" si="130"/>
        <v>13.243681724743192</v>
      </c>
      <c r="AF214" s="25">
        <f t="shared" si="122"/>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127.49804426656831</v>
      </c>
      <c r="AD215" s="29">
        <f t="shared" si="121"/>
        <v>1.0808524183153847</v>
      </c>
      <c r="AE215" s="25">
        <f t="shared" si="130"/>
        <v>13.243681724743192</v>
      </c>
      <c r="AF215" s="25">
        <f t="shared" si="122"/>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127.49804426656831</v>
      </c>
      <c r="AD216" s="29">
        <f t="shared" si="121"/>
        <v>1.0808524183153847</v>
      </c>
      <c r="AE216" s="25">
        <f t="shared" si="130"/>
        <v>13.243681724743192</v>
      </c>
      <c r="AF216" s="25">
        <f t="shared" si="122"/>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127.49804426656831</v>
      </c>
      <c r="AD217" s="29">
        <f t="shared" si="121"/>
        <v>1.0808524183153847</v>
      </c>
      <c r="AE217" s="25">
        <f t="shared" si="130"/>
        <v>13.243681724743192</v>
      </c>
      <c r="AF217" s="25">
        <f t="shared" si="122"/>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127.49804426656831</v>
      </c>
      <c r="AD218" s="29">
        <f t="shared" si="121"/>
        <v>1.0808524183153847</v>
      </c>
      <c r="AE218" s="25">
        <f t="shared" si="130"/>
        <v>13.243681724743192</v>
      </c>
      <c r="AF218" s="25">
        <f t="shared" si="122"/>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127.49804426656831</v>
      </c>
      <c r="AD219" s="29">
        <f t="shared" si="121"/>
        <v>1.0808524183153847</v>
      </c>
      <c r="AE219" s="25">
        <f t="shared" si="130"/>
        <v>13.243681724743192</v>
      </c>
      <c r="AF219" s="25">
        <f t="shared" si="122"/>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127.49804426656831</v>
      </c>
      <c r="AD220" s="29">
        <f t="shared" si="121"/>
        <v>1.0808524183153847</v>
      </c>
      <c r="AE220" s="25">
        <f t="shared" si="130"/>
        <v>13.243681724743192</v>
      </c>
      <c r="AF220" s="25">
        <f t="shared" si="122"/>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127.49804426656831</v>
      </c>
      <c r="AD221" s="29">
        <f t="shared" si="121"/>
        <v>1.0808524183153847</v>
      </c>
      <c r="AE221" s="25">
        <f t="shared" si="130"/>
        <v>13.243681724743192</v>
      </c>
      <c r="AF221" s="25">
        <f t="shared" si="122"/>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127.49804426656831</v>
      </c>
      <c r="AD222" s="29">
        <f t="shared" si="121"/>
        <v>1.0808524183153847</v>
      </c>
      <c r="AE222" s="25">
        <f t="shared" si="130"/>
        <v>13.243681724743192</v>
      </c>
      <c r="AF222" s="25">
        <f t="shared" si="122"/>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127.49804426656831</v>
      </c>
      <c r="AD223" s="29">
        <f t="shared" si="121"/>
        <v>1.0808524183153847</v>
      </c>
      <c r="AE223" s="25">
        <f t="shared" si="130"/>
        <v>13.243681724743192</v>
      </c>
      <c r="AF223" s="25">
        <f t="shared" si="122"/>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127.49804426656831</v>
      </c>
      <c r="AD224" s="29">
        <f t="shared" si="121"/>
        <v>1.0808524183153847</v>
      </c>
      <c r="AE224" s="25">
        <f t="shared" si="130"/>
        <v>13.243681724743192</v>
      </c>
      <c r="AF224" s="25">
        <f t="shared" si="122"/>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127.49804426656831</v>
      </c>
      <c r="AD225" s="29">
        <f t="shared" si="121"/>
        <v>1.0808524183153847</v>
      </c>
      <c r="AE225" s="25">
        <f t="shared" si="130"/>
        <v>13.243681724743192</v>
      </c>
      <c r="AF225" s="25">
        <f t="shared" si="122"/>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127.49804426656831</v>
      </c>
      <c r="AD226" s="29">
        <f t="shared" si="121"/>
        <v>1.0808524183153847</v>
      </c>
      <c r="AE226" s="25">
        <f t="shared" si="130"/>
        <v>13.243681724743192</v>
      </c>
      <c r="AF226" s="25">
        <f t="shared" si="122"/>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127.49804426656831</v>
      </c>
      <c r="AD227" s="29">
        <f t="shared" si="121"/>
        <v>1.0808524183153847</v>
      </c>
      <c r="AE227" s="25">
        <f t="shared" si="130"/>
        <v>13.243681724743192</v>
      </c>
      <c r="AF227" s="25">
        <f t="shared" si="122"/>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127.49804426656831</v>
      </c>
      <c r="AD228" s="29">
        <f t="shared" si="121"/>
        <v>1.0808524183153847</v>
      </c>
      <c r="AE228" s="25">
        <f t="shared" si="130"/>
        <v>13.243681724743192</v>
      </c>
      <c r="AF228" s="25">
        <f t="shared" si="122"/>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127.49804426656831</v>
      </c>
      <c r="AD229" s="29">
        <f t="shared" si="121"/>
        <v>1.0808524183153847</v>
      </c>
      <c r="AE229" s="25">
        <f t="shared" si="130"/>
        <v>13.243681724743192</v>
      </c>
      <c r="AF229" s="25">
        <f t="shared" si="122"/>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127.49804426656831</v>
      </c>
      <c r="AD230" s="29">
        <f t="shared" si="121"/>
        <v>1.0808524183153847</v>
      </c>
      <c r="AE230" s="25">
        <f t="shared" si="130"/>
        <v>13.243681724743192</v>
      </c>
      <c r="AF230" s="25">
        <f t="shared" si="122"/>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127.49804426656831</v>
      </c>
      <c r="AD231" s="29">
        <f t="shared" si="121"/>
        <v>1.0808524183153847</v>
      </c>
      <c r="AE231" s="25">
        <f t="shared" si="130"/>
        <v>13.243681724743192</v>
      </c>
      <c r="AF231" s="25">
        <f t="shared" si="122"/>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127.49804426656831</v>
      </c>
      <c r="AD232" s="29">
        <f t="shared" si="121"/>
        <v>1.0808524183153847</v>
      </c>
      <c r="AE232" s="25">
        <f t="shared" si="130"/>
        <v>13.243681724743192</v>
      </c>
      <c r="AF232" s="25">
        <f t="shared" si="122"/>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127.49804426656831</v>
      </c>
      <c r="AD233" s="29">
        <f t="shared" si="121"/>
        <v>1.0808524183153847</v>
      </c>
      <c r="AE233" s="25">
        <f t="shared" si="130"/>
        <v>13.243681724743192</v>
      </c>
      <c r="AF233" s="25">
        <f t="shared" si="122"/>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127.49804426656831</v>
      </c>
      <c r="AD234" s="29">
        <f t="shared" si="121"/>
        <v>1.0808524183153847</v>
      </c>
      <c r="AE234" s="25">
        <f t="shared" si="130"/>
        <v>13.243681724743192</v>
      </c>
      <c r="AF234" s="25">
        <f t="shared" si="122"/>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127.49804426656831</v>
      </c>
      <c r="AD235" s="29">
        <f t="shared" si="121"/>
        <v>1.0808524183153847</v>
      </c>
      <c r="AE235" s="25">
        <f t="shared" si="130"/>
        <v>13.243681724743192</v>
      </c>
      <c r="AF235" s="25">
        <f t="shared" si="122"/>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127.49804426656831</v>
      </c>
      <c r="AD236" s="29">
        <f t="shared" si="121"/>
        <v>1.0808524183153847</v>
      </c>
      <c r="AE236" s="25">
        <f t="shared" si="130"/>
        <v>13.243681724743192</v>
      </c>
      <c r="AF236" s="25">
        <f t="shared" si="122"/>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127.49804426656831</v>
      </c>
      <c r="AD237" s="29">
        <f t="shared" si="121"/>
        <v>1.0808524183153847</v>
      </c>
      <c r="AE237" s="25">
        <f t="shared" si="130"/>
        <v>13.243681724743192</v>
      </c>
      <c r="AF237" s="25">
        <f t="shared" si="122"/>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127.49804426656831</v>
      </c>
      <c r="AD238" s="29">
        <f t="shared" si="121"/>
        <v>1.0808524183153847</v>
      </c>
      <c r="AE238" s="25">
        <f t="shared" si="130"/>
        <v>13.243681724743192</v>
      </c>
      <c r="AF238" s="25">
        <f t="shared" si="122"/>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127.49804426656831</v>
      </c>
      <c r="AD239" s="29">
        <f t="shared" si="121"/>
        <v>1.0808524183153847</v>
      </c>
      <c r="AE239" s="25">
        <f t="shared" si="130"/>
        <v>13.243681724743192</v>
      </c>
      <c r="AF239" s="25">
        <f t="shared" si="122"/>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127.49804426656831</v>
      </c>
      <c r="AD240" s="29">
        <f t="shared" si="121"/>
        <v>1.0808524183153847</v>
      </c>
      <c r="AE240" s="25">
        <f t="shared" si="130"/>
        <v>13.243681724743192</v>
      </c>
      <c r="AF240" s="25">
        <f t="shared" si="122"/>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127.49804426656831</v>
      </c>
      <c r="AD241" s="29">
        <f t="shared" si="121"/>
        <v>1.0808524183153847</v>
      </c>
      <c r="AE241" s="25">
        <f t="shared" si="130"/>
        <v>13.243681724743192</v>
      </c>
      <c r="AF241" s="25">
        <f t="shared" si="122"/>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127.49804426656831</v>
      </c>
      <c r="AD242" s="29">
        <f t="shared" si="121"/>
        <v>1.0808524183153847</v>
      </c>
      <c r="AE242" s="25">
        <f t="shared" si="130"/>
        <v>13.243681724743192</v>
      </c>
      <c r="AF242" s="25">
        <f t="shared" si="122"/>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607.49804426656829</v>
      </c>
      <c r="AD243" s="29">
        <f t="shared" si="121"/>
        <v>1.6622911946613885</v>
      </c>
      <c r="AE243" s="25">
        <f t="shared" si="130"/>
        <v>-11.756318275256808</v>
      </c>
      <c r="AF243" s="25">
        <f t="shared" si="122"/>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607.49804426656829</v>
      </c>
      <c r="AD244" s="29">
        <f t="shared" si="121"/>
        <v>1.6622911946613885</v>
      </c>
      <c r="AE244" s="25">
        <f t="shared" si="130"/>
        <v>13.243681724743192</v>
      </c>
      <c r="AF244" s="25">
        <f t="shared" si="122"/>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607.49804426656829</v>
      </c>
      <c r="AD245" s="29">
        <f t="shared" si="121"/>
        <v>1.6622911946613885</v>
      </c>
      <c r="AE245" s="25">
        <f t="shared" si="130"/>
        <v>13.243681724743192</v>
      </c>
      <c r="AF245" s="25">
        <f t="shared" si="122"/>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607.49804426656829</v>
      </c>
      <c r="AD246" s="29">
        <f t="shared" si="121"/>
        <v>1.6622911946613885</v>
      </c>
      <c r="AE246" s="25">
        <f t="shared" si="130"/>
        <v>13.243681724743192</v>
      </c>
      <c r="AF246" s="25">
        <f t="shared" si="122"/>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607.49804426656829</v>
      </c>
      <c r="AD247" s="29">
        <f t="shared" si="121"/>
        <v>1.6622911946613885</v>
      </c>
      <c r="AE247" s="25">
        <f t="shared" si="130"/>
        <v>13.243681724743192</v>
      </c>
      <c r="AF247" s="25">
        <f t="shared" si="122"/>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607.49804426656829</v>
      </c>
      <c r="AD248" s="29">
        <f t="shared" si="121"/>
        <v>1.6622911946613885</v>
      </c>
      <c r="AE248" s="25">
        <f t="shared" si="130"/>
        <v>13.243681724743192</v>
      </c>
      <c r="AF248" s="25">
        <f t="shared" si="122"/>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607.49804426656829</v>
      </c>
      <c r="AD249" s="29">
        <f t="shared" si="121"/>
        <v>1.6622911946613885</v>
      </c>
      <c r="AE249" s="25">
        <f t="shared" si="130"/>
        <v>13.243681724743192</v>
      </c>
      <c r="AF249" s="25">
        <f t="shared" si="122"/>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607.49804426656829</v>
      </c>
      <c r="AD250" s="29">
        <f t="shared" si="121"/>
        <v>1.6622911946613885</v>
      </c>
      <c r="AE250" s="25">
        <f t="shared" si="130"/>
        <v>13.243681724743192</v>
      </c>
      <c r="AF250" s="25">
        <f t="shared" si="122"/>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607.49804426656829</v>
      </c>
      <c r="AD251" s="29">
        <f t="shared" si="121"/>
        <v>1.6622911946613885</v>
      </c>
      <c r="AE251" s="25">
        <f t="shared" si="130"/>
        <v>13.243681724743192</v>
      </c>
      <c r="AF251" s="25">
        <f t="shared" si="122"/>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607.49804426656829</v>
      </c>
      <c r="AD252" s="29">
        <f t="shared" si="121"/>
        <v>1.6622911946613885</v>
      </c>
      <c r="AE252" s="25">
        <f t="shared" si="130"/>
        <v>13.243681724743192</v>
      </c>
      <c r="AF252" s="25">
        <f t="shared" si="122"/>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607.49804426656829</v>
      </c>
      <c r="AD253" s="29">
        <f t="shared" si="121"/>
        <v>1.6622911946613885</v>
      </c>
      <c r="AE253" s="25">
        <f t="shared" si="130"/>
        <v>13.243681724743192</v>
      </c>
      <c r="AF253" s="25">
        <f t="shared" si="122"/>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607.49804426656829</v>
      </c>
      <c r="AD254" s="29">
        <f t="shared" si="121"/>
        <v>1.6622911946613885</v>
      </c>
      <c r="AE254" s="25">
        <f t="shared" si="130"/>
        <v>13.243681724743192</v>
      </c>
      <c r="AF254" s="25">
        <f t="shared" si="122"/>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607.49804426656829</v>
      </c>
      <c r="AD255" s="29">
        <f t="shared" si="121"/>
        <v>1.6622911946613885</v>
      </c>
      <c r="AE255" s="25">
        <f t="shared" si="130"/>
        <v>13.243681724743192</v>
      </c>
      <c r="AF255" s="25">
        <f t="shared" si="122"/>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607.49804426656829</v>
      </c>
      <c r="AD256" s="29">
        <f t="shared" si="121"/>
        <v>1.6622911946613885</v>
      </c>
      <c r="AE256" s="25">
        <f t="shared" si="130"/>
        <v>13.243681724743192</v>
      </c>
      <c r="AF256" s="25">
        <f t="shared" si="122"/>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607.49804426656829</v>
      </c>
      <c r="AD257" s="29">
        <f t="shared" si="121"/>
        <v>1.6622911946613885</v>
      </c>
      <c r="AE257" s="25">
        <f t="shared" si="130"/>
        <v>13.243681724743192</v>
      </c>
      <c r="AF257" s="25">
        <f t="shared" si="122"/>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207.49804426656831</v>
      </c>
      <c r="AD258" s="29">
        <f t="shared" si="121"/>
        <v>1.1315841256324579</v>
      </c>
      <c r="AE258" s="25">
        <f t="shared" si="130"/>
        <v>13.243681724743192</v>
      </c>
      <c r="AF258" s="25">
        <f t="shared" si="122"/>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207.49804426656831</v>
      </c>
      <c r="AD259" s="29">
        <f t="shared" ref="AD259:AD322" si="156">IF($A259&lt;0,0,(1+$AC259/(hasterate*100))*(1+$AS$26/100*AND($J259&gt;0,$J259&lt;=$AT$26))*(1+$AS$35/100*AND($M259&gt;0,$M259&lt;=$AT$35))*(1+0.3*($X259&gt;0)))</f>
        <v>1.1315841256324579</v>
      </c>
      <c r="AE259" s="25">
        <f t="shared" si="130"/>
        <v>13.243681724743192</v>
      </c>
      <c r="AF259" s="25">
        <f t="shared" ref="AF259:AF322" si="157">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207.49804426656831</v>
      </c>
      <c r="AD260" s="29">
        <f t="shared" si="156"/>
        <v>1.1315841256324579</v>
      </c>
      <c r="AE260" s="25">
        <f t="shared" ref="AE260:AE323" si="165">IF($A260&lt;0,0,$AN$45+IF($P260&gt;0,$AN$37*$AL$37,0)+$S260*(60-IF(CharLevel&gt;60,(CharLevel-60)*2,0))*$AL$38+IF($J260=1,$AL$26*-25+IF($AL$39, 30, 0),0)+IF($M260=1,$AL$35*-10,0)+IF(AE259&gt;instcost,AE259-instcost,0))</f>
        <v>13.243681724743192</v>
      </c>
      <c r="AF260" s="25">
        <f t="shared" si="157"/>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207.49804426656831</v>
      </c>
      <c r="AD261" s="29">
        <f t="shared" si="156"/>
        <v>1.1315841256324579</v>
      </c>
      <c r="AE261" s="25">
        <f t="shared" si="165"/>
        <v>13.243681724743192</v>
      </c>
      <c r="AF261" s="25">
        <f t="shared" si="157"/>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207.49804426656831</v>
      </c>
      <c r="AD262" s="29">
        <f t="shared" si="156"/>
        <v>1.1315841256324579</v>
      </c>
      <c r="AE262" s="25">
        <f t="shared" si="165"/>
        <v>13.243681724743192</v>
      </c>
      <c r="AF262" s="25">
        <f t="shared" si="157"/>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207.49804426656831</v>
      </c>
      <c r="AD263" s="29">
        <f t="shared" si="156"/>
        <v>1.1315841256324579</v>
      </c>
      <c r="AE263" s="25">
        <f t="shared" si="165"/>
        <v>13.243681724743192</v>
      </c>
      <c r="AF263" s="25">
        <f t="shared" si="157"/>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207.49804426656831</v>
      </c>
      <c r="AD264" s="29">
        <f t="shared" si="156"/>
        <v>1.1315841256324579</v>
      </c>
      <c r="AE264" s="25">
        <f t="shared" si="165"/>
        <v>13.243681724743192</v>
      </c>
      <c r="AF264" s="25">
        <f t="shared" si="157"/>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207.49804426656831</v>
      </c>
      <c r="AD265" s="29">
        <f t="shared" si="156"/>
        <v>1.1315841256324579</v>
      </c>
      <c r="AE265" s="25">
        <f t="shared" si="165"/>
        <v>13.243681724743192</v>
      </c>
      <c r="AF265" s="25">
        <f t="shared" si="157"/>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207.49804426656831</v>
      </c>
      <c r="AD266" s="29">
        <f t="shared" si="156"/>
        <v>1.1315841256324579</v>
      </c>
      <c r="AE266" s="25">
        <f t="shared" si="165"/>
        <v>13.243681724743192</v>
      </c>
      <c r="AF266" s="25">
        <f t="shared" si="157"/>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207.49804426656831</v>
      </c>
      <c r="AD267" s="29">
        <f t="shared" si="156"/>
        <v>1.1315841256324579</v>
      </c>
      <c r="AE267" s="25">
        <f t="shared" si="165"/>
        <v>13.243681724743192</v>
      </c>
      <c r="AF267" s="25">
        <f t="shared" si="157"/>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207.49804426656831</v>
      </c>
      <c r="AD268" s="29">
        <f t="shared" si="156"/>
        <v>1.1315841256324579</v>
      </c>
      <c r="AE268" s="25">
        <f t="shared" si="165"/>
        <v>13.243681724743192</v>
      </c>
      <c r="AF268" s="25">
        <f t="shared" si="157"/>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207.49804426656831</v>
      </c>
      <c r="AD269" s="29">
        <f t="shared" si="156"/>
        <v>1.1315841256324579</v>
      </c>
      <c r="AE269" s="25">
        <f t="shared" si="165"/>
        <v>13.243681724743192</v>
      </c>
      <c r="AF269" s="25">
        <f t="shared" si="157"/>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207.49804426656831</v>
      </c>
      <c r="AD270" s="29">
        <f t="shared" si="156"/>
        <v>1.1315841256324579</v>
      </c>
      <c r="AE270" s="25">
        <f t="shared" si="165"/>
        <v>13.243681724743192</v>
      </c>
      <c r="AF270" s="25">
        <f t="shared" si="157"/>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207.49804426656831</v>
      </c>
      <c r="AD271" s="29">
        <f t="shared" si="156"/>
        <v>1.1315841256324579</v>
      </c>
      <c r="AE271" s="25">
        <f t="shared" si="165"/>
        <v>13.243681724743192</v>
      </c>
      <c r="AF271" s="25">
        <f t="shared" si="157"/>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207.49804426656831</v>
      </c>
      <c r="AD272" s="29">
        <f t="shared" si="156"/>
        <v>1.1315841256324579</v>
      </c>
      <c r="AE272" s="25">
        <f t="shared" si="165"/>
        <v>13.243681724743192</v>
      </c>
      <c r="AF272" s="25">
        <f t="shared" si="157"/>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127.49804426656831</v>
      </c>
      <c r="AD273" s="29">
        <f t="shared" si="156"/>
        <v>1.0808524183153847</v>
      </c>
      <c r="AE273" s="25">
        <f t="shared" si="165"/>
        <v>13.243681724743192</v>
      </c>
      <c r="AF273" s="25">
        <f t="shared" si="157"/>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127.49804426656831</v>
      </c>
      <c r="AD274" s="29">
        <f t="shared" si="156"/>
        <v>1.0808524183153847</v>
      </c>
      <c r="AE274" s="25">
        <f t="shared" si="165"/>
        <v>13.243681724743192</v>
      </c>
      <c r="AF274" s="25">
        <f t="shared" si="157"/>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127.49804426656831</v>
      </c>
      <c r="AD275" s="29">
        <f t="shared" si="156"/>
        <v>1.0808524183153847</v>
      </c>
      <c r="AE275" s="25">
        <f t="shared" si="165"/>
        <v>13.243681724743192</v>
      </c>
      <c r="AF275" s="25">
        <f t="shared" si="157"/>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127.49804426656831</v>
      </c>
      <c r="AD276" s="29">
        <f t="shared" si="156"/>
        <v>1.0808524183153847</v>
      </c>
      <c r="AE276" s="25">
        <f t="shared" si="165"/>
        <v>13.243681724743192</v>
      </c>
      <c r="AF276" s="25">
        <f t="shared" si="157"/>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127.49804426656831</v>
      </c>
      <c r="AD277" s="29">
        <f t="shared" si="156"/>
        <v>1.0808524183153847</v>
      </c>
      <c r="AE277" s="25">
        <f t="shared" si="165"/>
        <v>13.243681724743192</v>
      </c>
      <c r="AF277" s="25">
        <f t="shared" si="157"/>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127.49804426656831</v>
      </c>
      <c r="AD278" s="29">
        <f t="shared" si="156"/>
        <v>1.0808524183153847</v>
      </c>
      <c r="AE278" s="25">
        <f t="shared" si="165"/>
        <v>13.243681724743192</v>
      </c>
      <c r="AF278" s="25">
        <f t="shared" si="157"/>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127.49804426656831</v>
      </c>
      <c r="AD279" s="29">
        <f t="shared" si="156"/>
        <v>1.0808524183153847</v>
      </c>
      <c r="AE279" s="25">
        <f t="shared" si="165"/>
        <v>13.243681724743192</v>
      </c>
      <c r="AF279" s="25">
        <f t="shared" si="157"/>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127.49804426656831</v>
      </c>
      <c r="AD280" s="29">
        <f t="shared" si="156"/>
        <v>1.0808524183153847</v>
      </c>
      <c r="AE280" s="25">
        <f t="shared" si="165"/>
        <v>13.243681724743192</v>
      </c>
      <c r="AF280" s="25">
        <f t="shared" si="157"/>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127.49804426656831</v>
      </c>
      <c r="AD281" s="29">
        <f t="shared" si="156"/>
        <v>1.0808524183153847</v>
      </c>
      <c r="AE281" s="25">
        <f t="shared" si="165"/>
        <v>13.243681724743192</v>
      </c>
      <c r="AF281" s="25">
        <f t="shared" si="157"/>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127.49804426656831</v>
      </c>
      <c r="AD282" s="29">
        <f t="shared" si="156"/>
        <v>1.0808524183153847</v>
      </c>
      <c r="AE282" s="25">
        <f t="shared" si="165"/>
        <v>13.243681724743192</v>
      </c>
      <c r="AF282" s="25">
        <f t="shared" si="157"/>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127.49804426656831</v>
      </c>
      <c r="AD283" s="29">
        <f t="shared" si="156"/>
        <v>1.0808524183153847</v>
      </c>
      <c r="AE283" s="25">
        <f t="shared" si="165"/>
        <v>13.243681724743192</v>
      </c>
      <c r="AF283" s="25">
        <f t="shared" si="157"/>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127.49804426656831</v>
      </c>
      <c r="AD284" s="29">
        <f t="shared" si="156"/>
        <v>1.0808524183153847</v>
      </c>
      <c r="AE284" s="25">
        <f t="shared" si="165"/>
        <v>13.243681724743192</v>
      </c>
      <c r="AF284" s="25">
        <f t="shared" si="157"/>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127.49804426656831</v>
      </c>
      <c r="AD285" s="29">
        <f t="shared" si="156"/>
        <v>1.0808524183153847</v>
      </c>
      <c r="AE285" s="25">
        <f t="shared" si="165"/>
        <v>13.243681724743192</v>
      </c>
      <c r="AF285" s="25">
        <f t="shared" si="157"/>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127.49804426656831</v>
      </c>
      <c r="AD286" s="29">
        <f t="shared" si="156"/>
        <v>1.0808524183153847</v>
      </c>
      <c r="AE286" s="25">
        <f t="shared" si="165"/>
        <v>13.243681724743192</v>
      </c>
      <c r="AF286" s="25">
        <f t="shared" si="157"/>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127.49804426656831</v>
      </c>
      <c r="AD287" s="29">
        <f t="shared" si="156"/>
        <v>1.0808524183153847</v>
      </c>
      <c r="AE287" s="25">
        <f t="shared" si="165"/>
        <v>13.243681724743192</v>
      </c>
      <c r="AF287" s="25">
        <f t="shared" si="157"/>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127.49804426656831</v>
      </c>
      <c r="AD288" s="29">
        <f t="shared" si="156"/>
        <v>1.0808524183153847</v>
      </c>
      <c r="AE288" s="25">
        <f t="shared" si="165"/>
        <v>13.243681724743192</v>
      </c>
      <c r="AF288" s="25">
        <f t="shared" si="157"/>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127.49804426656831</v>
      </c>
      <c r="AD289" s="29">
        <f t="shared" si="156"/>
        <v>1.0808524183153847</v>
      </c>
      <c r="AE289" s="25">
        <f t="shared" si="165"/>
        <v>13.243681724743192</v>
      </c>
      <c r="AF289" s="25">
        <f t="shared" si="157"/>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127.49804426656831</v>
      </c>
      <c r="AD290" s="29">
        <f t="shared" si="156"/>
        <v>1.0808524183153847</v>
      </c>
      <c r="AE290" s="25">
        <f t="shared" si="165"/>
        <v>13.243681724743192</v>
      </c>
      <c r="AF290" s="25">
        <f t="shared" si="157"/>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127.49804426656831</v>
      </c>
      <c r="AD291" s="29">
        <f t="shared" si="156"/>
        <v>1.0808524183153847</v>
      </c>
      <c r="AE291" s="25">
        <f t="shared" si="165"/>
        <v>13.243681724743192</v>
      </c>
      <c r="AF291" s="25">
        <f t="shared" si="157"/>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127.49804426656831</v>
      </c>
      <c r="AD292" s="29">
        <f t="shared" si="156"/>
        <v>1.0808524183153847</v>
      </c>
      <c r="AE292" s="25">
        <f t="shared" si="165"/>
        <v>13.243681724743192</v>
      </c>
      <c r="AF292" s="25">
        <f t="shared" si="157"/>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127.49804426656831</v>
      </c>
      <c r="AD293" s="29">
        <f t="shared" si="156"/>
        <v>1.0808524183153847</v>
      </c>
      <c r="AE293" s="25">
        <f t="shared" si="165"/>
        <v>13.243681724743192</v>
      </c>
      <c r="AF293" s="25">
        <f t="shared" si="157"/>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127.49804426656831</v>
      </c>
      <c r="AD294" s="29">
        <f t="shared" si="156"/>
        <v>1.0808524183153847</v>
      </c>
      <c r="AE294" s="25">
        <f t="shared" si="165"/>
        <v>13.243681724743192</v>
      </c>
      <c r="AF294" s="25">
        <f t="shared" si="157"/>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127.49804426656831</v>
      </c>
      <c r="AD295" s="29">
        <f t="shared" si="156"/>
        <v>1.0808524183153847</v>
      </c>
      <c r="AE295" s="25">
        <f t="shared" si="165"/>
        <v>13.243681724743192</v>
      </c>
      <c r="AF295" s="25">
        <f t="shared" si="157"/>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127.49804426656831</v>
      </c>
      <c r="AD296" s="29">
        <f t="shared" si="156"/>
        <v>1.0808524183153847</v>
      </c>
      <c r="AE296" s="25">
        <f t="shared" si="165"/>
        <v>13.243681724743192</v>
      </c>
      <c r="AF296" s="25">
        <f t="shared" si="157"/>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127.49804426656831</v>
      </c>
      <c r="AD297" s="29">
        <f t="shared" si="156"/>
        <v>1.0808524183153847</v>
      </c>
      <c r="AE297" s="25">
        <f t="shared" si="165"/>
        <v>13.243681724743192</v>
      </c>
      <c r="AF297" s="25">
        <f t="shared" si="157"/>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127.49804426656831</v>
      </c>
      <c r="AD298" s="29">
        <f t="shared" si="156"/>
        <v>1.0808524183153847</v>
      </c>
      <c r="AE298" s="25">
        <f t="shared" si="165"/>
        <v>13.243681724743192</v>
      </c>
      <c r="AF298" s="25">
        <f t="shared" si="157"/>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127.49804426656831</v>
      </c>
      <c r="AD299" s="29">
        <f t="shared" si="156"/>
        <v>1.0808524183153847</v>
      </c>
      <c r="AE299" s="25">
        <f t="shared" si="165"/>
        <v>13.243681724743192</v>
      </c>
      <c r="AF299" s="25">
        <f t="shared" si="157"/>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127.49804426656831</v>
      </c>
      <c r="AD300" s="29">
        <f t="shared" si="156"/>
        <v>1.0808524183153847</v>
      </c>
      <c r="AE300" s="25">
        <f t="shared" si="165"/>
        <v>13.243681724743192</v>
      </c>
      <c r="AF300" s="25">
        <f t="shared" si="157"/>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127.49804426656831</v>
      </c>
      <c r="AD301" s="29">
        <f t="shared" si="156"/>
        <v>1.0808524183153847</v>
      </c>
      <c r="AE301" s="25">
        <f t="shared" si="165"/>
        <v>13.243681724743192</v>
      </c>
      <c r="AF301" s="25">
        <f t="shared" si="157"/>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127.49804426656831</v>
      </c>
      <c r="AD302" s="29">
        <f t="shared" si="156"/>
        <v>1.0808524183153847</v>
      </c>
      <c r="AE302" s="25">
        <f t="shared" si="165"/>
        <v>13.243681724743192</v>
      </c>
      <c r="AF302" s="25">
        <f t="shared" si="157"/>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2">
        <f t="shared" si="329"/>
        <v>0</v>
      </c>
      <c r="AC602" s="104">
        <f t="shared" si="330"/>
        <v>0</v>
      </c>
      <c r="AD602" s="1312">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1"/>
      <c r="B603" s="901"/>
      <c r="C603" s="901"/>
      <c r="D603" s="902">
        <f>COUNTIF(D3:D602,"=1")</f>
        <v>5</v>
      </c>
      <c r="E603" s="901"/>
      <c r="F603" s="901"/>
      <c r="G603" s="902">
        <f>COUNTIF(G3:G602,"=1")</f>
        <v>4</v>
      </c>
      <c r="H603" s="901"/>
      <c r="I603" s="901"/>
      <c r="J603" s="902">
        <f>COUNTIF(J3:J602,"=1")</f>
        <v>3</v>
      </c>
      <c r="K603" s="901"/>
      <c r="L603" s="901"/>
      <c r="M603" s="902">
        <f>COUNTIF(M3:M602,"=1")</f>
        <v>2</v>
      </c>
      <c r="N603" s="901"/>
      <c r="O603" s="901"/>
      <c r="P603" s="902">
        <f>COUNTIF(P3:P602, "&gt;0")</f>
        <v>15</v>
      </c>
      <c r="Q603" s="901"/>
      <c r="R603" s="901"/>
      <c r="S603" s="902">
        <f>COUNTIF(S3:S602,"=1")</f>
        <v>1</v>
      </c>
      <c r="T603" s="901"/>
      <c r="U603" s="901"/>
      <c r="V603" s="901"/>
      <c r="W603" s="901"/>
      <c r="X603" s="901"/>
      <c r="Y603" s="901"/>
      <c r="Z603" s="901"/>
      <c r="AA603" s="901"/>
      <c r="AB603" s="903"/>
      <c r="AC603" s="904"/>
      <c r="AD603" s="903"/>
      <c r="AE603" s="904"/>
      <c r="AF603" s="904"/>
      <c r="AG603" s="904"/>
      <c r="AH603" s="904"/>
      <c r="AI603" s="904"/>
      <c r="AJ603" s="904"/>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2">
        <f>MAX(5%+0.5%*(BossLevel-CharLevel),0%)</f>
        <v>6.5000000000000002E-2</v>
      </c>
      <c r="C2" s="871"/>
    </row>
    <row r="3" spans="1:4">
      <c r="A3" s="6" t="s">
        <v>398</v>
      </c>
      <c r="B3" s="372">
        <f>MAX(5%+0.5%*(BossLevel-CharLevel)+IF((BossLevel-CharLevel)&gt;2,7.5%,0%))</f>
        <v>0.14000000000000001</v>
      </c>
    </row>
    <row r="4" spans="1:4">
      <c r="A4" s="6" t="s">
        <v>2049</v>
      </c>
      <c r="B4" s="372">
        <f>100%-MAX((BossLevel-CharLevel)*10%-5%,5%)</f>
        <v>0.75</v>
      </c>
      <c r="C4" s="325"/>
      <c r="D4" s="325"/>
    </row>
    <row r="5" spans="1:4">
      <c r="A5" s="6" t="s">
        <v>2048</v>
      </c>
      <c r="B5" s="372">
        <f>MAX((BossLevel+1-CharLevel)*6%,0%)</f>
        <v>0.24</v>
      </c>
      <c r="D5" s="325"/>
    </row>
    <row r="6" spans="1:4">
      <c r="A6" s="6" t="s">
        <v>2044</v>
      </c>
      <c r="B6" s="372">
        <f>19%+MAX(IF(BossLevel*5-CharLevel*5&gt;10, 5%+(BossLevel*5-CharLevel*5)*0.2%, 5%+(BossLevel*5-CharLevel*5)*0.1%), 0%)</f>
        <v>0.27</v>
      </c>
    </row>
    <row r="7" spans="1:4">
      <c r="A7" s="6" t="s">
        <v>2046</v>
      </c>
      <c r="B7" s="121">
        <f>Talents!O15</f>
        <v>73</v>
      </c>
      <c r="D7" s="325"/>
    </row>
    <row r="8" spans="1:4">
      <c r="A8" s="6" t="s">
        <v>2047</v>
      </c>
      <c r="B8" s="121">
        <f>Talents!O14</f>
        <v>70</v>
      </c>
      <c r="D8" s="325"/>
    </row>
    <row r="9" spans="1:4">
      <c r="A9" s="6" t="s">
        <v>734</v>
      </c>
      <c r="B9" s="654">
        <f>MHavg</f>
        <v>211</v>
      </c>
      <c r="C9" s="6" t="s">
        <v>735</v>
      </c>
      <c r="D9" s="325"/>
    </row>
    <row r="10" spans="1:4">
      <c r="A10" s="6" t="s">
        <v>736</v>
      </c>
      <c r="B10" s="218">
        <f>MHspd</f>
        <v>2.6</v>
      </c>
      <c r="C10" s="6" t="s">
        <v>737</v>
      </c>
      <c r="D10" s="325"/>
    </row>
    <row r="11" spans="1:4">
      <c r="A11" s="6" t="s">
        <v>740</v>
      </c>
      <c r="B11" s="654">
        <f>ohavg</f>
        <v>100.5</v>
      </c>
      <c r="C11" s="6" t="s">
        <v>738</v>
      </c>
      <c r="D11" s="325"/>
    </row>
    <row r="12" spans="1:4">
      <c r="A12" s="6" t="s">
        <v>741</v>
      </c>
      <c r="B12" s="218">
        <f>ohspd</f>
        <v>1.4</v>
      </c>
      <c r="C12" s="6" t="s">
        <v>739</v>
      </c>
      <c r="D12" s="325"/>
    </row>
    <row r="13" spans="1:4">
      <c r="A13" s="6" t="s">
        <v>2050</v>
      </c>
      <c r="B13" s="372">
        <f>50%+50%*talDWSpec*talDWSpecRate</f>
        <v>0.75</v>
      </c>
      <c r="D13" s="325"/>
    </row>
    <row r="14" spans="1:4">
      <c r="A14" s="6" t="s">
        <v>639</v>
      </c>
      <c r="B14" s="1362">
        <v>2.4</v>
      </c>
      <c r="C14" s="6" t="s">
        <v>836</v>
      </c>
      <c r="D14" s="325"/>
    </row>
    <row r="15" spans="1:4">
      <c r="A15" s="6" t="s">
        <v>638</v>
      </c>
      <c r="B15" s="1362">
        <v>1.7</v>
      </c>
      <c r="C15" s="6" t="s">
        <v>837</v>
      </c>
      <c r="D15" s="325"/>
    </row>
    <row r="16" spans="1:4">
      <c r="A16" s="6" t="s">
        <v>111</v>
      </c>
      <c r="B16" s="1362">
        <f>IF(mhtype="Dagger",NormDag,NormWeap)</f>
        <v>2.4</v>
      </c>
      <c r="D16" s="325"/>
    </row>
    <row r="17" spans="1:4">
      <c r="A17" s="6" t="s">
        <v>112</v>
      </c>
      <c r="B17" s="1362">
        <f>IF(ohtype="Dagger",NormDag,NormWeap)</f>
        <v>2.4</v>
      </c>
      <c r="D17" s="325"/>
    </row>
    <row r="18" spans="1:4" s="219" customFormat="1">
      <c r="A18" s="219" t="s">
        <v>3041</v>
      </c>
      <c r="B18" s="237"/>
    </row>
    <row r="19" spans="1:4" s="222" customFormat="1">
      <c r="A19" s="222" t="s">
        <v>619</v>
      </c>
      <c r="B19" s="1363">
        <f>nextstat2!$E$11</f>
        <v>0.3930630284412473</v>
      </c>
    </row>
    <row r="20" spans="1:4">
      <c r="A20" s="6" t="s">
        <v>620</v>
      </c>
      <c r="B20" s="218">
        <f>nextstat2!$E$4</f>
        <v>0.8272128693349714</v>
      </c>
    </row>
    <row r="21" spans="1:4">
      <c r="A21" s="6" t="s">
        <v>621</v>
      </c>
      <c r="B21" s="218">
        <f>nextstat2!$E$3</f>
        <v>0.3573300258551626</v>
      </c>
    </row>
    <row r="22" spans="1:4">
      <c r="A22" s="6" t="s">
        <v>1403</v>
      </c>
      <c r="B22" s="218">
        <f>nextstat2!$E$5</f>
        <v>0.68579630550948423</v>
      </c>
    </row>
    <row r="23" spans="1:4">
      <c r="A23" s="6" t="s">
        <v>1404</v>
      </c>
      <c r="B23" s="218">
        <f>nextstat2!$E$6</f>
        <v>5.5500314671271553</v>
      </c>
    </row>
    <row r="24" spans="1:4">
      <c r="A24" s="6" t="s">
        <v>1405</v>
      </c>
      <c r="B24" s="218">
        <f>nextstat2!$E$7</f>
        <v>3.6713847390201408</v>
      </c>
    </row>
    <row r="25" spans="1:4">
      <c r="A25" s="6" t="s">
        <v>1406</v>
      </c>
      <c r="B25" s="218">
        <f>nextstat2!$E$8</f>
        <v>0.12290860133657588</v>
      </c>
    </row>
    <row r="26" spans="1:4">
      <c r="A26" s="6" t="s">
        <v>1407</v>
      </c>
      <c r="B26" s="218">
        <f>nextstat2!$E$9</f>
        <v>1.1786101463294472</v>
      </c>
    </row>
    <row r="27" spans="1:4" s="219" customFormat="1">
      <c r="A27" s="219" t="s">
        <v>1591</v>
      </c>
      <c r="B27" s="237"/>
    </row>
    <row r="28" spans="1:4" s="219" customFormat="1">
      <c r="A28" s="219" t="s">
        <v>175</v>
      </c>
      <c r="B28" s="237"/>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9" customFormat="1">
      <c r="A53" s="219" t="s">
        <v>2220</v>
      </c>
      <c r="B53" s="237"/>
    </row>
    <row r="54" spans="1:3" s="219" customFormat="1">
      <c r="B54" s="237"/>
    </row>
    <row r="55" spans="1:3">
      <c r="A55" s="6" t="s">
        <v>263</v>
      </c>
      <c r="B55" s="120" t="b">
        <f>SetTB2p</f>
        <v>0</v>
      </c>
    </row>
    <row r="56" spans="1:3" s="222" customFormat="1">
      <c r="A56" s="222" t="s">
        <v>1167</v>
      </c>
      <c r="B56" s="1364" t="b">
        <f>stSL4P</f>
        <v>0</v>
      </c>
    </row>
    <row r="57" spans="1:3">
      <c r="A57" s="6" t="s">
        <v>1168</v>
      </c>
      <c r="B57" s="338">
        <f>IF(stSL4P,6%,0)</f>
        <v>0</v>
      </c>
      <c r="C57" s="6" t="s">
        <v>636</v>
      </c>
    </row>
    <row r="58" spans="1:3" s="219" customFormat="1">
      <c r="A58" s="219" t="s">
        <v>838</v>
      </c>
      <c r="B58" s="237"/>
    </row>
    <row r="59" spans="1:3" s="219" customFormat="1">
      <c r="B59" s="237"/>
    </row>
    <row r="60" spans="1:3">
      <c r="A60" s="6" t="s">
        <v>1155</v>
      </c>
      <c r="B60" s="338">
        <f>150%+tlSCinst</f>
        <v>1.5</v>
      </c>
      <c r="C60" s="6" t="s">
        <v>2038</v>
      </c>
    </row>
    <row r="61" spans="1:3">
      <c r="A61" s="6" t="s">
        <v>1156</v>
      </c>
      <c r="B61" s="120">
        <f>1+tlSAfac+tlAGGfac+tlAGGfac+stSL4pbn</f>
        <v>1.2200000000000002</v>
      </c>
      <c r="C61" s="6" t="s">
        <v>1172</v>
      </c>
    </row>
    <row r="62" spans="1:3">
      <c r="A62" s="6" t="s">
        <v>1157</v>
      </c>
      <c r="B62" s="120">
        <v>170</v>
      </c>
    </row>
    <row r="63" spans="1:3" s="329" customFormat="1">
      <c r="A63" s="329" t="s">
        <v>1173</v>
      </c>
      <c r="B63" s="1365">
        <f>$B$61*$B$60</f>
        <v>1.8300000000000003</v>
      </c>
      <c r="C63" s="329" t="s">
        <v>1174</v>
      </c>
    </row>
    <row r="64" spans="1:3">
      <c r="A64" s="6" t="s">
        <v>1175</v>
      </c>
      <c r="B64" s="338">
        <f>110%+tlSCinst</f>
        <v>1.1000000000000001</v>
      </c>
      <c r="C64" s="6" t="s">
        <v>642</v>
      </c>
    </row>
    <row r="65" spans="1:3">
      <c r="A65" s="6" t="s">
        <v>637</v>
      </c>
      <c r="B65" s="120">
        <f>1+stSL4pbn</f>
        <v>1</v>
      </c>
      <c r="C65" s="6" t="s">
        <v>643</v>
      </c>
    </row>
    <row r="66" spans="1:3">
      <c r="A66" s="6" t="s">
        <v>640</v>
      </c>
      <c r="B66" s="120">
        <f>$B$64*$B$65</f>
        <v>1.1000000000000001</v>
      </c>
      <c r="C66" s="6" t="s">
        <v>641</v>
      </c>
    </row>
    <row r="67" spans="1:3" s="219" customFormat="1">
      <c r="A67" s="219" t="s">
        <v>1898</v>
      </c>
      <c r="B67" s="237"/>
    </row>
    <row r="68" spans="1:3" s="219" customFormat="1">
      <c r="B68" s="237"/>
    </row>
    <row r="69" spans="1:3">
      <c r="A69" s="6" t="s">
        <v>1244</v>
      </c>
      <c r="B69" s="120">
        <f>tlSwS</f>
        <v>5</v>
      </c>
      <c r="C69" s="6" t="s">
        <v>1245</v>
      </c>
    </row>
    <row r="70" spans="1:3">
      <c r="A70" s="6" t="s">
        <v>1247</v>
      </c>
      <c r="B70" s="338">
        <v>0.01</v>
      </c>
    </row>
    <row r="71" spans="1:3">
      <c r="A71" s="6" t="s">
        <v>1248</v>
      </c>
      <c r="B71" s="338">
        <f>tlSwS*$B$70</f>
        <v>0.05</v>
      </c>
      <c r="C71" s="6" t="s">
        <v>1246</v>
      </c>
    </row>
    <row r="72" spans="1:3">
      <c r="A72" s="6" t="s">
        <v>1249</v>
      </c>
      <c r="B72" s="338" t="b">
        <f>(mhtype="Sword")</f>
        <v>1</v>
      </c>
      <c r="C72" s="6" t="s">
        <v>1098</v>
      </c>
    </row>
    <row r="73" spans="1:3">
      <c r="A73" s="6" t="s">
        <v>1097</v>
      </c>
      <c r="B73" s="338" t="b">
        <f>(ohtype="Sword")</f>
        <v>1</v>
      </c>
      <c r="C73" s="6" t="s">
        <v>1099</v>
      </c>
    </row>
    <row r="74" spans="1:3" s="222" customFormat="1">
      <c r="A74" s="222" t="s">
        <v>2051</v>
      </c>
      <c r="B74" s="1364">
        <f>talDWSpec</f>
        <v>5</v>
      </c>
    </row>
    <row r="75" spans="1:3">
      <c r="A75" s="6" t="s">
        <v>2052</v>
      </c>
      <c r="B75" s="338">
        <v>0.1</v>
      </c>
    </row>
    <row r="76" spans="1:3" s="222" customFormat="1">
      <c r="A76" s="222" t="s">
        <v>1164</v>
      </c>
      <c r="B76" s="1364">
        <f>tlSC</f>
        <v>0</v>
      </c>
    </row>
    <row r="77" spans="1:3">
      <c r="A77" s="6" t="s">
        <v>1161</v>
      </c>
      <c r="B77" s="338">
        <v>0.01</v>
      </c>
      <c r="C77" s="6" t="s">
        <v>1162</v>
      </c>
    </row>
    <row r="78" spans="1:3">
      <c r="A78" s="6" t="s">
        <v>1152</v>
      </c>
      <c r="B78" s="338">
        <f>3%</f>
        <v>0.03</v>
      </c>
    </row>
    <row r="79" spans="1:3">
      <c r="A79" s="6" t="s">
        <v>1153</v>
      </c>
      <c r="B79" s="338">
        <f>tlSC*$B$77</f>
        <v>0</v>
      </c>
    </row>
    <row r="80" spans="1:3">
      <c r="A80" s="6" t="s">
        <v>1154</v>
      </c>
      <c r="B80" s="338">
        <f>tlSC*$B$78</f>
        <v>0</v>
      </c>
    </row>
    <row r="81" spans="1:3" s="222" customFormat="1">
      <c r="A81" s="222" t="s">
        <v>2035</v>
      </c>
      <c r="B81" s="1364">
        <f>tlMurder</f>
        <v>2</v>
      </c>
    </row>
    <row r="82" spans="1:3">
      <c r="A82" s="6" t="s">
        <v>2036</v>
      </c>
      <c r="B82" s="338">
        <v>0.01</v>
      </c>
      <c r="C82" s="6" t="s">
        <v>1160</v>
      </c>
    </row>
    <row r="83" spans="1:3" s="329" customFormat="1">
      <c r="A83" s="329" t="s">
        <v>2037</v>
      </c>
      <c r="B83" s="1366">
        <f>IF(OR(mobtype="Any",mobtype="Beast",mobtype="Dragonkin",mobtype="Giant",mobtype="Humanoid"),100%+tlMurder*$B$82,100%)</f>
        <v>1.02</v>
      </c>
    </row>
    <row r="84" spans="1:3">
      <c r="A84" s="6" t="s">
        <v>1158</v>
      </c>
      <c r="B84" s="120">
        <f>tlSA</f>
        <v>1</v>
      </c>
    </row>
    <row r="85" spans="1:3">
      <c r="A85" s="6" t="s">
        <v>2036</v>
      </c>
      <c r="B85" s="338">
        <v>0.1</v>
      </c>
    </row>
    <row r="86" spans="1:3" s="329" customFormat="1">
      <c r="A86" s="329" t="s">
        <v>1171</v>
      </c>
      <c r="B86" s="1365">
        <f>tlSA*$B$85</f>
        <v>0.1</v>
      </c>
    </row>
    <row r="87" spans="1:3">
      <c r="A87" s="6" t="s">
        <v>1159</v>
      </c>
      <c r="B87" s="120">
        <f>tlOPP</f>
        <v>0</v>
      </c>
    </row>
    <row r="88" spans="1:3">
      <c r="A88" s="6" t="s">
        <v>2036</v>
      </c>
      <c r="B88" s="338">
        <v>0.04</v>
      </c>
      <c r="C88" s="6" t="s">
        <v>1163</v>
      </c>
    </row>
    <row r="89" spans="1:3" s="329" customFormat="1">
      <c r="A89" s="329" t="s">
        <v>1170</v>
      </c>
      <c r="B89" s="1365">
        <f>tlOPP*$B$88</f>
        <v>0</v>
      </c>
    </row>
    <row r="90" spans="1:3">
      <c r="A90" s="6" t="s">
        <v>1165</v>
      </c>
      <c r="B90" s="120">
        <f>tlAGG</f>
        <v>3</v>
      </c>
    </row>
    <row r="91" spans="1:3">
      <c r="A91" s="6" t="s">
        <v>2036</v>
      </c>
      <c r="B91" s="338">
        <v>0.02</v>
      </c>
      <c r="C91" s="6" t="s">
        <v>1166</v>
      </c>
    </row>
    <row r="92" spans="1:3" s="329" customFormat="1">
      <c r="A92" s="329" t="s">
        <v>1169</v>
      </c>
      <c r="B92" s="1365">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9" customFormat="1">
      <c r="A105" s="219" t="s">
        <v>1357</v>
      </c>
      <c r="B105" s="237"/>
    </row>
    <row r="106" spans="1:4" s="219" customFormat="1">
      <c r="B106" s="237"/>
    </row>
    <row r="107" spans="1:4">
      <c r="A107" s="6" t="s">
        <v>2169</v>
      </c>
      <c r="B107" s="372">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2">
        <f>IF(OR(trinket1="Hand of Justice",trinket2="Hand of Justice"),Optimize!C60,0%)</f>
        <v>0</v>
      </c>
      <c r="C110" s="325"/>
      <c r="D110" s="1357"/>
    </row>
    <row r="111" spans="1:4" s="479" customFormat="1">
      <c r="A111" s="479" t="s">
        <v>74</v>
      </c>
      <c r="B111" s="1367"/>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8">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3" t="s">
        <v>2433</v>
      </c>
      <c r="Q1" s="864" t="s">
        <v>2434</v>
      </c>
      <c r="R1" s="864" t="s">
        <v>2435</v>
      </c>
      <c r="S1" s="864" t="s">
        <v>1214</v>
      </c>
      <c r="T1" s="864" t="s">
        <v>1215</v>
      </c>
      <c r="U1" s="864" t="s">
        <v>1216</v>
      </c>
      <c r="V1" s="864" t="s">
        <v>2140</v>
      </c>
      <c r="W1" s="864" t="s">
        <v>2139</v>
      </c>
      <c r="X1" s="864" t="s">
        <v>768</v>
      </c>
      <c r="Y1" s="864" t="s">
        <v>264</v>
      </c>
      <c r="Z1" s="864" t="s">
        <v>2436</v>
      </c>
      <c r="AA1" s="864" t="s">
        <v>2432</v>
      </c>
      <c r="AB1" s="864" t="s">
        <v>2431</v>
      </c>
      <c r="AC1" s="864" t="s">
        <v>2430</v>
      </c>
      <c r="AD1" s="864" t="s">
        <v>2429</v>
      </c>
      <c r="AE1" s="865" t="s">
        <v>2437</v>
      </c>
      <c r="AG1" s="1336" t="s">
        <v>3089</v>
      </c>
      <c r="AH1" s="864" t="s">
        <v>767</v>
      </c>
      <c r="AI1" s="864" t="s">
        <v>765</v>
      </c>
      <c r="AJ1" s="864" t="s">
        <v>773</v>
      </c>
      <c r="AK1" s="864" t="s">
        <v>2140</v>
      </c>
      <c r="AL1" s="864" t="s">
        <v>2139</v>
      </c>
      <c r="AM1" s="864" t="s">
        <v>768</v>
      </c>
      <c r="AN1" s="864" t="s">
        <v>1217</v>
      </c>
      <c r="AO1" s="864" t="s">
        <v>2144</v>
      </c>
      <c r="AP1" s="864" t="s">
        <v>2432</v>
      </c>
      <c r="AQ1" s="864" t="s">
        <v>2431</v>
      </c>
      <c r="AR1" s="864" t="s">
        <v>2430</v>
      </c>
      <c r="AS1" s="864" t="s">
        <v>2429</v>
      </c>
      <c r="AT1" s="864" t="s">
        <v>1218</v>
      </c>
      <c r="AU1" s="865" t="s">
        <v>1219</v>
      </c>
    </row>
    <row r="2" spans="1:47">
      <c r="B2" s="120" t="s">
        <v>2438</v>
      </c>
      <c r="C2" s="120" t="s">
        <v>54</v>
      </c>
      <c r="D2" s="120" t="s">
        <v>55</v>
      </c>
      <c r="E2" s="120" t="s">
        <v>56</v>
      </c>
      <c r="AG2" s="1333" t="s">
        <v>1066</v>
      </c>
      <c r="AH2" s="769"/>
      <c r="AI2" s="769"/>
      <c r="AJ2" s="769"/>
      <c r="AK2" s="769"/>
      <c r="AL2" s="769"/>
      <c r="AM2" s="769">
        <v>4</v>
      </c>
      <c r="AN2" s="769"/>
      <c r="AO2" s="769"/>
      <c r="AP2" s="769"/>
      <c r="AQ2" s="769"/>
      <c r="AR2" s="769"/>
      <c r="AS2" s="769"/>
      <c r="AT2" s="769"/>
      <c r="AU2" s="1334"/>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3" t="s">
        <v>1465</v>
      </c>
      <c r="AH3" s="769"/>
      <c r="AI3" s="769"/>
      <c r="AJ3" s="769"/>
      <c r="AK3" s="769"/>
      <c r="AL3" s="769"/>
      <c r="AM3" s="769">
        <v>6</v>
      </c>
      <c r="AN3" s="769"/>
      <c r="AO3" s="769"/>
      <c r="AP3" s="769"/>
      <c r="AQ3" s="769"/>
      <c r="AR3" s="769"/>
      <c r="AS3" s="769"/>
      <c r="AT3" s="769"/>
      <c r="AU3" s="1334"/>
    </row>
    <row r="4" spans="1:47">
      <c r="B4" s="120">
        <f>'Gear &amp; Buffs'!R13</f>
        <v>0</v>
      </c>
      <c r="C4" s="218" t="b">
        <f>MID(B4,1,1)="1"</f>
        <v>0</v>
      </c>
      <c r="D4" s="218" t="b">
        <f>MID(B4,3,1)="1"</f>
        <v>0</v>
      </c>
      <c r="E4" s="218"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3" t="s">
        <v>1065</v>
      </c>
      <c r="AH4" s="769"/>
      <c r="AI4" s="769"/>
      <c r="AJ4" s="769"/>
      <c r="AK4" s="769"/>
      <c r="AL4" s="769"/>
      <c r="AM4" s="769">
        <v>8</v>
      </c>
      <c r="AN4" s="769"/>
      <c r="AO4" s="769"/>
      <c r="AP4" s="769"/>
      <c r="AQ4" s="769"/>
      <c r="AR4" s="769"/>
      <c r="AS4" s="769"/>
      <c r="AT4" s="769"/>
      <c r="AU4" s="1334"/>
    </row>
    <row r="5" spans="1:47">
      <c r="B5" s="120">
        <f>'Gear &amp; Buffs'!R14</f>
        <v>0</v>
      </c>
      <c r="C5" s="218" t="b">
        <f>MID(B5,1,1)="1"</f>
        <v>0</v>
      </c>
      <c r="D5" s="218" t="b">
        <f>MID(B5,3,1)="1"</f>
        <v>0</v>
      </c>
      <c r="E5" s="218" t="b">
        <f>MID(B5,5,1)="1"</f>
        <v>0</v>
      </c>
      <c r="G5" s="120">
        <f>IF($D3=1, OR(AND(MID($C3,1,1)="R", $C4), AND(MID($C3,1,1)="Y", $D4), AND(MID($C3,1,1)="B", $E4)),0)</f>
        <v>0</v>
      </c>
      <c r="N5" s="120" t="b">
        <f>OR(G5)</f>
        <v>0</v>
      </c>
      <c r="AG5" s="1333" t="s">
        <v>13</v>
      </c>
      <c r="AH5" s="769"/>
      <c r="AI5" s="769"/>
      <c r="AJ5" s="769"/>
      <c r="AK5" s="769"/>
      <c r="AL5" s="769"/>
      <c r="AM5" s="769"/>
      <c r="AN5" s="769"/>
      <c r="AO5" s="769"/>
      <c r="AP5" s="769"/>
      <c r="AQ5" s="769"/>
      <c r="AR5" s="769"/>
      <c r="AS5" s="769"/>
      <c r="AT5" s="769">
        <v>4</v>
      </c>
      <c r="AU5" s="1334"/>
    </row>
    <row r="6" spans="1:47">
      <c r="B6" s="120">
        <f>'Gear &amp; Buffs'!R15</f>
        <v>0</v>
      </c>
      <c r="C6" s="218" t="b">
        <f>MID(B6,1,1)="1"</f>
        <v>0</v>
      </c>
      <c r="D6" s="218" t="b">
        <f>MID(B6,3,1)="1"</f>
        <v>0</v>
      </c>
      <c r="E6" s="218" t="b">
        <f>MID(B6,5,1)="1"</f>
        <v>0</v>
      </c>
      <c r="AG6" s="1333" t="s">
        <v>1022</v>
      </c>
      <c r="AH6" s="769"/>
      <c r="AI6" s="769"/>
      <c r="AJ6" s="769"/>
      <c r="AK6" s="769"/>
      <c r="AL6" s="769">
        <v>2</v>
      </c>
      <c r="AM6" s="769"/>
      <c r="AN6" s="769"/>
      <c r="AO6" s="769"/>
      <c r="AP6" s="769"/>
      <c r="AQ6" s="769"/>
      <c r="AR6" s="769"/>
      <c r="AS6" s="769"/>
      <c r="AT6" s="769"/>
      <c r="AU6" s="1334"/>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3" t="s">
        <v>1447</v>
      </c>
      <c r="AH7" s="769"/>
      <c r="AI7" s="769"/>
      <c r="AJ7" s="769"/>
      <c r="AK7" s="769"/>
      <c r="AL7" s="769">
        <v>3</v>
      </c>
      <c r="AM7" s="769"/>
      <c r="AN7" s="769"/>
      <c r="AO7" s="769"/>
      <c r="AP7" s="769"/>
      <c r="AQ7" s="769"/>
      <c r="AR7" s="769"/>
      <c r="AS7" s="769"/>
      <c r="AT7" s="769"/>
      <c r="AU7" s="1334"/>
    </row>
    <row r="8" spans="1:47">
      <c r="B8" s="120">
        <f>'Gear &amp; Buffs'!R19</f>
        <v>0</v>
      </c>
      <c r="C8" s="218" t="b">
        <f>MID(B8,1,1)="1"</f>
        <v>0</v>
      </c>
      <c r="D8" s="218" t="b">
        <f>MID(B8,3,1)="1"</f>
        <v>0</v>
      </c>
      <c r="E8" s="218"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3" t="s">
        <v>2020</v>
      </c>
      <c r="AH8" s="769"/>
      <c r="AI8" s="769"/>
      <c r="AJ8" s="769"/>
      <c r="AK8" s="769"/>
      <c r="AL8" s="769">
        <v>4</v>
      </c>
      <c r="AM8" s="769"/>
      <c r="AN8" s="769"/>
      <c r="AO8" s="769"/>
      <c r="AP8" s="769"/>
      <c r="AQ8" s="769"/>
      <c r="AR8" s="769"/>
      <c r="AS8" s="769"/>
      <c r="AT8" s="769"/>
      <c r="AU8" s="1334"/>
    </row>
    <row r="9" spans="1:47">
      <c r="B9" s="120">
        <f>'Gear &amp; Buffs'!R20</f>
        <v>0</v>
      </c>
      <c r="C9" s="218" t="b">
        <f>MID(B9,1,1)="1"</f>
        <v>0</v>
      </c>
      <c r="D9" s="218" t="b">
        <f>MID(B9,3,1)="1"</f>
        <v>0</v>
      </c>
      <c r="E9" s="218" t="b">
        <f>MID(B9,5,1)="1"</f>
        <v>0</v>
      </c>
      <c r="G9" s="120">
        <f>IF($D7=1, OR(AND(MID($C7,1,1)="R", $C8), AND(MID($C7,1,1)="Y", $D8), AND(MID($C7,1,1)="B", $E8)),0)</f>
        <v>0</v>
      </c>
      <c r="N9" s="120" t="b">
        <f>OR(G9)</f>
        <v>0</v>
      </c>
      <c r="AG9" s="1333" t="s">
        <v>1463</v>
      </c>
      <c r="AH9" s="769"/>
      <c r="AI9" s="769">
        <v>2</v>
      </c>
      <c r="AJ9" s="769"/>
      <c r="AK9" s="769"/>
      <c r="AL9" s="769"/>
      <c r="AM9" s="769"/>
      <c r="AN9" s="769"/>
      <c r="AO9" s="769"/>
      <c r="AP9" s="769"/>
      <c r="AQ9" s="769"/>
      <c r="AR9" s="769"/>
      <c r="AS9" s="769"/>
      <c r="AT9" s="769"/>
      <c r="AU9" s="1334"/>
    </row>
    <row r="10" spans="1:47">
      <c r="B10" s="120">
        <f>'Gear &amp; Buffs'!R21</f>
        <v>0</v>
      </c>
      <c r="C10" s="218" t="b">
        <f>MID(B10,1,1)="1"</f>
        <v>0</v>
      </c>
      <c r="D10" s="218" t="b">
        <f>MID(B10,3,1)="1"</f>
        <v>0</v>
      </c>
      <c r="E10" s="218" t="b">
        <f>MID(B10,5,1)="1"</f>
        <v>0</v>
      </c>
      <c r="AG10" s="1333" t="s">
        <v>22</v>
      </c>
      <c r="AH10" s="769"/>
      <c r="AI10" s="769">
        <v>3</v>
      </c>
      <c r="AJ10" s="769"/>
      <c r="AK10" s="769"/>
      <c r="AL10" s="769"/>
      <c r="AM10" s="769"/>
      <c r="AN10" s="769"/>
      <c r="AO10" s="769"/>
      <c r="AP10" s="769"/>
      <c r="AQ10" s="769"/>
      <c r="AR10" s="769"/>
      <c r="AS10" s="769"/>
      <c r="AT10" s="769"/>
      <c r="AU10" s="1334"/>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3" t="s">
        <v>1056</v>
      </c>
      <c r="AH11" s="769"/>
      <c r="AI11" s="769">
        <v>4</v>
      </c>
      <c r="AJ11" s="769"/>
      <c r="AK11" s="769"/>
      <c r="AL11" s="769"/>
      <c r="AM11" s="769"/>
      <c r="AN11" s="769"/>
      <c r="AO11" s="769"/>
      <c r="AP11" s="769"/>
      <c r="AQ11" s="769"/>
      <c r="AR11" s="769"/>
      <c r="AS11" s="769"/>
      <c r="AT11" s="769"/>
      <c r="AU11" s="1334"/>
    </row>
    <row r="12" spans="1:47">
      <c r="A12" s="142" t="s">
        <v>2439</v>
      </c>
      <c r="B12" s="120">
        <f>'Gear &amp; Buffs'!R28</f>
        <v>1</v>
      </c>
      <c r="C12" s="218"/>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3" t="s">
        <v>1473</v>
      </c>
      <c r="AH12" s="769"/>
      <c r="AI12" s="769"/>
      <c r="AJ12" s="769"/>
      <c r="AK12" s="769">
        <v>2</v>
      </c>
      <c r="AL12" s="769"/>
      <c r="AM12" s="769"/>
      <c r="AN12" s="769"/>
      <c r="AO12" s="769"/>
      <c r="AP12" s="769"/>
      <c r="AQ12" s="769"/>
      <c r="AR12" s="769"/>
      <c r="AS12" s="769"/>
      <c r="AT12" s="769"/>
      <c r="AU12" s="1334"/>
    </row>
    <row r="13" spans="1:47">
      <c r="B13" s="120" t="str">
        <f>'Gear &amp; Buffs'!R29</f>
        <v>1 1 0</v>
      </c>
      <c r="C13" s="218" t="b">
        <f>MID(B13,1,1)="1"</f>
        <v>1</v>
      </c>
      <c r="D13" s="218" t="b">
        <f>MID(B13,3,1)="1"</f>
        <v>1</v>
      </c>
      <c r="E13" s="218" t="b">
        <f>MID(B13,5,1)="1"</f>
        <v>0</v>
      </c>
      <c r="G13" s="120" t="b">
        <f>IF($D11=1, OR(AND(MID($C11,1,1)="R", $C13), AND(MID($C11,1,1)="Y", $D13), AND(MID($C11,1,1)="B", $E13)),0)</f>
        <v>1</v>
      </c>
      <c r="N13" s="120" t="b">
        <f>OR(G13)</f>
        <v>1</v>
      </c>
      <c r="AG13" s="1333" t="s">
        <v>1449</v>
      </c>
      <c r="AH13" s="769"/>
      <c r="AI13" s="769"/>
      <c r="AJ13" s="769"/>
      <c r="AK13" s="769">
        <v>3</v>
      </c>
      <c r="AL13" s="769"/>
      <c r="AM13" s="769"/>
      <c r="AN13" s="769"/>
      <c r="AO13" s="769"/>
      <c r="AP13" s="769"/>
      <c r="AQ13" s="769"/>
      <c r="AR13" s="769"/>
      <c r="AS13" s="769"/>
      <c r="AT13" s="769"/>
      <c r="AU13" s="1334"/>
    </row>
    <row r="14" spans="1:47">
      <c r="B14" s="120">
        <f>'Gear &amp; Buffs'!R30</f>
        <v>0</v>
      </c>
      <c r="C14" s="218" t="b">
        <f>MID(B14,1,1)="1"</f>
        <v>0</v>
      </c>
      <c r="D14" s="218" t="b">
        <f>MID(B14,3,1)="1"</f>
        <v>0</v>
      </c>
      <c r="E14" s="218" t="b">
        <f>MID(B14,5,1)="1"</f>
        <v>0</v>
      </c>
      <c r="AG14" s="1333" t="s">
        <v>817</v>
      </c>
      <c r="AH14" s="769"/>
      <c r="AI14" s="769"/>
      <c r="AJ14" s="769"/>
      <c r="AK14" s="769">
        <v>4</v>
      </c>
      <c r="AL14" s="769"/>
      <c r="AM14" s="769"/>
      <c r="AN14" s="769"/>
      <c r="AO14" s="769"/>
      <c r="AP14" s="769"/>
      <c r="AQ14" s="769"/>
      <c r="AR14" s="769"/>
      <c r="AS14" s="769"/>
      <c r="AT14" s="769"/>
      <c r="AU14" s="1334"/>
    </row>
    <row r="15" spans="1:47">
      <c r="B15" s="120">
        <f>'Gear &amp; Buffs'!R31</f>
        <v>0</v>
      </c>
      <c r="C15" s="218" t="b">
        <f>MID(B15,1,1)="1"</f>
        <v>0</v>
      </c>
      <c r="D15" s="218" t="b">
        <f>MID(B15,3,1)="1"</f>
        <v>0</v>
      </c>
      <c r="E15" s="218" t="b">
        <f>MID(B15,5,1)="1"</f>
        <v>0</v>
      </c>
      <c r="AG15" s="1333" t="s">
        <v>2428</v>
      </c>
      <c r="AH15" s="769">
        <v>2</v>
      </c>
      <c r="AI15" s="769"/>
      <c r="AJ15" s="769"/>
      <c r="AK15" s="769"/>
      <c r="AL15" s="769"/>
      <c r="AM15" s="769"/>
      <c r="AN15" s="769"/>
      <c r="AO15" s="769"/>
      <c r="AP15" s="769"/>
      <c r="AQ15" s="769"/>
      <c r="AR15" s="769"/>
      <c r="AS15" s="769"/>
      <c r="AT15" s="769"/>
      <c r="AU15" s="1334"/>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3" t="s">
        <v>2427</v>
      </c>
      <c r="AH16" s="769">
        <v>4</v>
      </c>
      <c r="AI16" s="769"/>
      <c r="AJ16" s="769"/>
      <c r="AK16" s="769"/>
      <c r="AL16" s="769"/>
      <c r="AM16" s="769"/>
      <c r="AN16" s="769"/>
      <c r="AO16" s="769"/>
      <c r="AP16" s="769"/>
      <c r="AQ16" s="769"/>
      <c r="AR16" s="769"/>
      <c r="AS16" s="769"/>
      <c r="AT16" s="769"/>
      <c r="AU16" s="1334"/>
    </row>
    <row r="17" spans="1:47">
      <c r="B17" s="120">
        <f>'Gear &amp; Buffs'!R33</f>
        <v>0</v>
      </c>
      <c r="C17" s="218" t="b">
        <f>MID(B17,1,1)="1"</f>
        <v>0</v>
      </c>
      <c r="D17" s="218" t="b">
        <f>MID(B17,3,1)="1"</f>
        <v>0</v>
      </c>
      <c r="E17" s="218"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3" t="s">
        <v>1338</v>
      </c>
      <c r="AH17" s="769"/>
      <c r="AI17" s="769"/>
      <c r="AJ17" s="769">
        <v>3</v>
      </c>
      <c r="AK17" s="769"/>
      <c r="AL17" s="769"/>
      <c r="AM17" s="769"/>
      <c r="AN17" s="769"/>
      <c r="AO17" s="769"/>
      <c r="AP17" s="769"/>
      <c r="AQ17" s="769"/>
      <c r="AR17" s="769"/>
      <c r="AS17" s="769"/>
      <c r="AT17" s="769"/>
      <c r="AU17" s="1334"/>
    </row>
    <row r="18" spans="1:47">
      <c r="B18" s="120">
        <f>'Gear &amp; Buffs'!R34</f>
        <v>0</v>
      </c>
      <c r="C18" s="218" t="b">
        <f>MID(B18,1,1)="1"</f>
        <v>0</v>
      </c>
      <c r="D18" s="218" t="b">
        <f>MID(B18,3,1)="1"</f>
        <v>0</v>
      </c>
      <c r="E18" s="218" t="b">
        <f>MID(B18,5,1)="1"</f>
        <v>0</v>
      </c>
      <c r="AG18" s="1333" t="s">
        <v>1459</v>
      </c>
      <c r="AH18" s="769"/>
      <c r="AI18" s="769"/>
      <c r="AJ18" s="769">
        <v>4</v>
      </c>
      <c r="AK18" s="769"/>
      <c r="AL18" s="769"/>
      <c r="AM18" s="769"/>
      <c r="AN18" s="769"/>
      <c r="AO18" s="769"/>
      <c r="AP18" s="769"/>
      <c r="AQ18" s="769"/>
      <c r="AR18" s="769"/>
      <c r="AS18" s="769"/>
      <c r="AT18" s="769"/>
      <c r="AU18" s="1334"/>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3" t="s">
        <v>1052</v>
      </c>
      <c r="AH19" s="769"/>
      <c r="AI19" s="769"/>
      <c r="AJ19" s="769">
        <v>6</v>
      </c>
      <c r="AK19" s="769"/>
      <c r="AL19" s="769"/>
      <c r="AM19" s="769"/>
      <c r="AN19" s="769"/>
      <c r="AO19" s="769"/>
      <c r="AP19" s="769"/>
      <c r="AQ19" s="769"/>
      <c r="AR19" s="769"/>
      <c r="AS19" s="769"/>
      <c r="AT19" s="769"/>
      <c r="AU19" s="1334"/>
    </row>
    <row r="20" spans="1:47">
      <c r="B20" s="120" t="str">
        <f>'Gear &amp; Buffs'!R37</f>
        <v>0 0 1</v>
      </c>
      <c r="C20" s="218" t="b">
        <f>MID(B20,1,1)="1"</f>
        <v>0</v>
      </c>
      <c r="D20" s="218" t="b">
        <f>MID(B20,3,1)="1"</f>
        <v>0</v>
      </c>
      <c r="E20" s="218"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3" t="s">
        <v>1070</v>
      </c>
      <c r="AH20" s="769"/>
      <c r="AI20" s="769"/>
      <c r="AJ20" s="769"/>
      <c r="AK20" s="769"/>
      <c r="AL20" s="769"/>
      <c r="AM20" s="769"/>
      <c r="AN20" s="769">
        <v>2</v>
      </c>
      <c r="AO20" s="769"/>
      <c r="AP20" s="769"/>
      <c r="AQ20" s="769"/>
      <c r="AR20" s="769"/>
      <c r="AS20" s="769"/>
      <c r="AT20" s="769"/>
      <c r="AU20" s="1334"/>
    </row>
    <row r="21" spans="1:47">
      <c r="B21" s="120" t="str">
        <f>'Gear &amp; Buffs'!R38</f>
        <v>0 0 1</v>
      </c>
      <c r="C21" s="218" t="b">
        <f>MID(B21,1,1)="1"</f>
        <v>0</v>
      </c>
      <c r="D21" s="218" t="b">
        <f>MID(B21,3,1)="1"</f>
        <v>0</v>
      </c>
      <c r="E21" s="218" t="b">
        <f>MID(B21,5,1)="1"</f>
        <v>1</v>
      </c>
      <c r="G21" s="120">
        <f>IF($D19=1, OR(AND(MID($C19,1,1)="R", $C20), AND(MID($C19,1,1)="Y", $D20), AND(MID($C19,1,1)="B", $E20)),0)</f>
        <v>0</v>
      </c>
      <c r="AG21" s="1333" t="s">
        <v>1452</v>
      </c>
      <c r="AH21" s="769"/>
      <c r="AI21" s="769"/>
      <c r="AJ21" s="769"/>
      <c r="AK21" s="769"/>
      <c r="AL21" s="769"/>
      <c r="AM21" s="769"/>
      <c r="AN21" s="769">
        <v>3</v>
      </c>
      <c r="AO21" s="769"/>
      <c r="AP21" s="769"/>
      <c r="AQ21" s="769"/>
      <c r="AR21" s="769"/>
      <c r="AS21" s="769"/>
      <c r="AT21" s="769"/>
      <c r="AU21" s="1334"/>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3" t="s">
        <v>1069</v>
      </c>
      <c r="AH22" s="769"/>
      <c r="AI22" s="769"/>
      <c r="AJ22" s="769"/>
      <c r="AK22" s="769"/>
      <c r="AL22" s="769"/>
      <c r="AM22" s="769"/>
      <c r="AN22" s="769">
        <v>4</v>
      </c>
      <c r="AO22" s="769"/>
      <c r="AP22" s="769"/>
      <c r="AQ22" s="769"/>
      <c r="AR22" s="769"/>
      <c r="AS22" s="769"/>
      <c r="AT22" s="769"/>
      <c r="AU22" s="1334"/>
    </row>
    <row r="23" spans="1:47">
      <c r="B23" s="120" t="str">
        <f>'Gear &amp; Buffs'!R44</f>
        <v>0 0 1</v>
      </c>
      <c r="C23" s="218" t="b">
        <f>MID(B23,1,1)="1"</f>
        <v>0</v>
      </c>
      <c r="D23" s="218" t="b">
        <f>MID(B23,3,1)="1"</f>
        <v>0</v>
      </c>
      <c r="E23" s="218"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3" t="s">
        <v>1303</v>
      </c>
      <c r="AH23" s="769"/>
      <c r="AI23" s="769"/>
      <c r="AJ23" s="769"/>
      <c r="AK23" s="769"/>
      <c r="AL23" s="769"/>
      <c r="AM23" s="769"/>
      <c r="AN23" s="769"/>
      <c r="AO23" s="769">
        <v>2</v>
      </c>
      <c r="AP23" s="769"/>
      <c r="AQ23" s="769"/>
      <c r="AR23" s="769"/>
      <c r="AS23" s="769"/>
      <c r="AT23" s="769"/>
      <c r="AU23" s="1334"/>
    </row>
    <row r="24" spans="1:47">
      <c r="B24" s="120" t="str">
        <f>'Gear &amp; Buffs'!R45</f>
        <v>1 1 0</v>
      </c>
      <c r="C24" s="218" t="b">
        <f>MID(B24,1,1)="1"</f>
        <v>1</v>
      </c>
      <c r="D24" s="218" t="b">
        <f>MID(B24,3,1)="1"</f>
        <v>1</v>
      </c>
      <c r="E24" s="218" t="b">
        <f>MID(B24,5,1)="1"</f>
        <v>0</v>
      </c>
      <c r="G24" s="120">
        <f>IF($D22=1, OR(AND(MID($C22,1,1)="R", $C23), AND(MID($C22,1,1)="Y", $D23), AND(MID($C22,1,1)="B", $E23)),0)</f>
        <v>0</v>
      </c>
      <c r="N24" s="120" t="b">
        <f>OR(G24)</f>
        <v>0</v>
      </c>
      <c r="AG24" s="1333" t="s">
        <v>1455</v>
      </c>
      <c r="AH24" s="769"/>
      <c r="AI24" s="769"/>
      <c r="AJ24" s="769"/>
      <c r="AK24" s="769"/>
      <c r="AL24" s="769"/>
      <c r="AM24" s="769"/>
      <c r="AN24" s="769"/>
      <c r="AO24" s="769">
        <v>3</v>
      </c>
      <c r="AP24" s="769"/>
      <c r="AQ24" s="769"/>
      <c r="AR24" s="769"/>
      <c r="AS24" s="769"/>
      <c r="AT24" s="769"/>
      <c r="AU24" s="1334"/>
    </row>
    <row r="25" spans="1:47">
      <c r="B25" s="120" t="str">
        <f>'Gear &amp; Buffs'!R46</f>
        <v>1 0 1</v>
      </c>
      <c r="C25" s="218" t="b">
        <f>MID(B25,1,1)="1"</f>
        <v>1</v>
      </c>
      <c r="D25" s="218" t="b">
        <f>MID(B25,3,1)="1"</f>
        <v>0</v>
      </c>
      <c r="E25" s="218" t="b">
        <f>MID(B25,5,1)="1"</f>
        <v>1</v>
      </c>
      <c r="AG25" s="1333" t="s">
        <v>1072</v>
      </c>
      <c r="AH25" s="769"/>
      <c r="AI25" s="769"/>
      <c r="AJ25" s="769"/>
      <c r="AK25" s="769"/>
      <c r="AL25" s="769"/>
      <c r="AM25" s="769"/>
      <c r="AN25" s="769"/>
      <c r="AO25" s="769">
        <v>4</v>
      </c>
      <c r="AP25" s="769"/>
      <c r="AQ25" s="769"/>
      <c r="AR25" s="769"/>
      <c r="AS25" s="769"/>
      <c r="AT25" s="769"/>
      <c r="AU25" s="1334"/>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3"/>
      <c r="AH26" s="769"/>
      <c r="AI26" s="769"/>
      <c r="AJ26" s="769"/>
      <c r="AK26" s="769"/>
      <c r="AL26" s="769"/>
      <c r="AM26" s="769"/>
      <c r="AN26" s="769"/>
      <c r="AO26" s="769"/>
      <c r="AP26" s="769"/>
      <c r="AQ26" s="769"/>
      <c r="AR26" s="769"/>
      <c r="AS26" s="769"/>
      <c r="AT26" s="769"/>
      <c r="AU26" s="1334"/>
    </row>
    <row r="27" spans="1:47">
      <c r="B27" s="120" t="str">
        <f>'Gear &amp; Buffs'!R49</f>
        <v>0 0 1</v>
      </c>
      <c r="C27" s="218" t="b">
        <f>MID(B27,1,1)="1"</f>
        <v>0</v>
      </c>
      <c r="D27" s="218" t="b">
        <f>MID(B27,3,1)="1"</f>
        <v>0</v>
      </c>
      <c r="E27" s="218" t="b">
        <f>MID(B27,5,1)="1"</f>
        <v>1</v>
      </c>
      <c r="AG27" s="1333">
        <v>0</v>
      </c>
      <c r="AH27" s="769"/>
      <c r="AI27" s="769"/>
      <c r="AJ27" s="769"/>
      <c r="AK27" s="769"/>
      <c r="AL27" s="769"/>
      <c r="AM27" s="769"/>
      <c r="AN27" s="769"/>
      <c r="AO27" s="769"/>
      <c r="AP27" s="769"/>
      <c r="AQ27" s="769"/>
      <c r="AR27" s="769"/>
      <c r="AS27" s="769"/>
      <c r="AT27" s="769"/>
      <c r="AU27" s="1334"/>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5" t="s">
        <v>1689</v>
      </c>
      <c r="AH28" s="858"/>
      <c r="AI28" s="858"/>
      <c r="AJ28" s="858"/>
      <c r="AK28" s="858"/>
      <c r="AL28" s="858"/>
      <c r="AM28" s="858"/>
      <c r="AN28" s="858"/>
      <c r="AO28" s="858"/>
      <c r="AP28" s="858"/>
      <c r="AQ28" s="858"/>
      <c r="AR28" s="858"/>
      <c r="AS28" s="858"/>
      <c r="AT28" s="858"/>
      <c r="AU28" s="859"/>
    </row>
    <row r="29" spans="1:47">
      <c r="B29" s="120" t="str">
        <f>'Gear &amp; Buffs'!R52</f>
        <v>0 0 1</v>
      </c>
      <c r="C29" s="218" t="b">
        <f>MID(B29,1,1)="1"</f>
        <v>0</v>
      </c>
      <c r="D29" s="218" t="b">
        <f>MID(B29,3,1)="1"</f>
        <v>0</v>
      </c>
      <c r="E29" s="218"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8" t="b">
        <f>MID(B30,1,1)="1"</f>
        <v>0</v>
      </c>
      <c r="D30" s="218" t="b">
        <f>MID(B30,3,1)="1"</f>
        <v>0</v>
      </c>
      <c r="E30" s="218"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8" t="b">
        <f>MID(B32,1,1)="1"</f>
        <v>0</v>
      </c>
      <c r="D32" s="218" t="b">
        <f>MID(B32,3,1)="1"</f>
        <v>0</v>
      </c>
      <c r="E32" s="218"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8" t="b">
        <f>MID(B33,1,1)="1"</f>
        <v>0</v>
      </c>
      <c r="D33" s="218" t="b">
        <f>MID(B33,3,1)="1"</f>
        <v>0</v>
      </c>
      <c r="E33" s="218"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8" t="b">
        <f>MID(B35,1,1)="1"</f>
        <v>0</v>
      </c>
      <c r="D35" s="218" t="b">
        <f>MID(B35,3,1)="1"</f>
        <v>0</v>
      </c>
      <c r="E35" s="218"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8" t="b">
        <f>MID(B36,1,1)="1"</f>
        <v>0</v>
      </c>
      <c r="D36" s="218" t="b">
        <f>MID(B36,3,1)="1"</f>
        <v>0</v>
      </c>
      <c r="E36" s="218" t="b">
        <f>MID(B36,5,1)="1"</f>
        <v>1</v>
      </c>
      <c r="G36" s="120">
        <f>IF($D34=1, OR(AND(MID($C34,1,1)="R", $C35), AND(MID($C34,1,1)="Y", $D35), AND(MID($C34,1,1)="B", $E35)),0)</f>
        <v>0</v>
      </c>
      <c r="N36" s="120" t="b">
        <f>OR(G36)</f>
        <v>0</v>
      </c>
    </row>
    <row r="37" spans="1:31">
      <c r="B37" s="120" t="str">
        <f>'Gear &amp; Buffs'!R61</f>
        <v>0 0 1</v>
      </c>
      <c r="C37" s="218" t="b">
        <f>MID(B37,1,1)="1"</f>
        <v>0</v>
      </c>
      <c r="D37" s="218" t="b">
        <f>MID(B37,3,1)="1"</f>
        <v>0</v>
      </c>
      <c r="E37" s="218"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8" t="b">
        <f>MID(B39,1,1)="1"</f>
        <v>0</v>
      </c>
      <c r="D39" s="218" t="b">
        <f>MID(B39,3,1)="1"</f>
        <v>0</v>
      </c>
      <c r="E39" s="218"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8" t="b">
        <f>MID(B40,1,1)="1"</f>
        <v>1</v>
      </c>
      <c r="D40" s="218" t="b">
        <f>MID(B40,3,1)="1"</f>
        <v>0</v>
      </c>
      <c r="E40" s="218"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8"/>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8" t="b">
        <f>MID(B42,1,1)="1"</f>
        <v>0</v>
      </c>
      <c r="D42" s="218" t="b">
        <f>MID(B42,3,1)="1"</f>
        <v>0</v>
      </c>
      <c r="E42" s="218"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8"/>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8" t="b">
        <f>MID(B44,1,1)="1"</f>
        <v>0</v>
      </c>
      <c r="D44" s="218" t="b">
        <f>MID(B44,3,1)="1"</f>
        <v>0</v>
      </c>
      <c r="E44" s="218"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8" t="b">
        <f>MID(B45,1,1)="1"</f>
        <v>0</v>
      </c>
      <c r="D45" s="218" t="b">
        <f>MID(B45,3,1)="1"</f>
        <v>0</v>
      </c>
      <c r="E45" s="218" t="b">
        <f>MID(B45,5,1)="1"</f>
        <v>0</v>
      </c>
      <c r="G45" s="120">
        <f>IF($D43=1, OR(AND(MID($C43,1,1)="R", $C44), AND(MID($C43,1,1)="Y", $D44), AND(MID($C43,1,1)="B", $E44)),0)</f>
        <v>0</v>
      </c>
      <c r="N45" s="120" t="b">
        <f>OR(G45)</f>
        <v>0</v>
      </c>
    </row>
    <row r="46" spans="1:31" ht="12" thickBot="1">
      <c r="B46" s="120">
        <f>'Gear &amp; Buffs'!R25</f>
        <v>0</v>
      </c>
      <c r="C46" s="218" t="b">
        <f>MID(B46,1,1)="1"</f>
        <v>0</v>
      </c>
      <c r="D46" s="218" t="b">
        <f>MID(B46,3,1)="1"</f>
        <v>0</v>
      </c>
      <c r="E46" s="218" t="b">
        <f>MID(B46,5,1)="1"</f>
        <v>0</v>
      </c>
    </row>
    <row r="47" spans="1:31">
      <c r="C47" s="218"/>
      <c r="D47" s="218"/>
      <c r="E47" s="218"/>
      <c r="S47" s="860" t="s">
        <v>1214</v>
      </c>
      <c r="T47" s="861" t="s">
        <v>1215</v>
      </c>
      <c r="U47" s="861" t="s">
        <v>1216</v>
      </c>
      <c r="V47" s="861" t="s">
        <v>2140</v>
      </c>
      <c r="W47" s="861" t="s">
        <v>2139</v>
      </c>
      <c r="X47" s="861" t="s">
        <v>768</v>
      </c>
      <c r="Y47" s="861" t="s">
        <v>264</v>
      </c>
      <c r="Z47" s="861" t="s">
        <v>2436</v>
      </c>
      <c r="AA47" s="861" t="s">
        <v>2432</v>
      </c>
      <c r="AB47" s="861" t="s">
        <v>2431</v>
      </c>
      <c r="AC47" s="861" t="s">
        <v>2430</v>
      </c>
      <c r="AD47" s="861" t="s">
        <v>2429</v>
      </c>
      <c r="AE47" s="862" t="s">
        <v>2437</v>
      </c>
    </row>
    <row r="48" spans="1:31" ht="12" thickBot="1">
      <c r="S48" s="857">
        <f t="shared" ref="S48:AE48" si="0">SUM(S3:S43)</f>
        <v>0</v>
      </c>
      <c r="T48" s="858">
        <f t="shared" si="0"/>
        <v>8</v>
      </c>
      <c r="U48" s="858">
        <f t="shared" si="0"/>
        <v>0</v>
      </c>
      <c r="V48" s="858">
        <f t="shared" si="0"/>
        <v>0</v>
      </c>
      <c r="W48" s="858">
        <f t="shared" si="0"/>
        <v>3</v>
      </c>
      <c r="X48" s="858">
        <f t="shared" si="0"/>
        <v>0</v>
      </c>
      <c r="Y48" s="858">
        <f t="shared" si="0"/>
        <v>0</v>
      </c>
      <c r="Z48" s="858">
        <f t="shared" si="0"/>
        <v>0</v>
      </c>
      <c r="AA48" s="858">
        <f t="shared" si="0"/>
        <v>0</v>
      </c>
      <c r="AB48" s="858">
        <f t="shared" si="0"/>
        <v>0</v>
      </c>
      <c r="AC48" s="858">
        <f t="shared" si="0"/>
        <v>0</v>
      </c>
      <c r="AD48" s="858">
        <f t="shared" si="0"/>
        <v>0</v>
      </c>
      <c r="AE48" s="859">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70" workbookViewId="0">
      <selection activeCell="AB4" sqref="AB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700" t="s">
        <v>164</v>
      </c>
      <c r="B1" s="700" t="s">
        <v>1934</v>
      </c>
      <c r="C1" s="700" t="s">
        <v>2798</v>
      </c>
      <c r="D1" s="700" t="s">
        <v>1214</v>
      </c>
      <c r="E1" s="700" t="s">
        <v>1215</v>
      </c>
      <c r="F1" s="700" t="s">
        <v>768</v>
      </c>
      <c r="G1" s="700" t="s">
        <v>2140</v>
      </c>
      <c r="H1" s="700" t="s">
        <v>2139</v>
      </c>
      <c r="I1" s="700" t="s">
        <v>771</v>
      </c>
      <c r="J1" s="700" t="s">
        <v>1219</v>
      </c>
      <c r="K1" s="700" t="s">
        <v>760</v>
      </c>
      <c r="L1" s="700" t="s">
        <v>1216</v>
      </c>
      <c r="M1" s="700" t="s">
        <v>264</v>
      </c>
      <c r="N1" s="700" t="s">
        <v>1217</v>
      </c>
      <c r="O1" s="700" t="s">
        <v>1287</v>
      </c>
      <c r="P1" s="700" t="s">
        <v>1046</v>
      </c>
      <c r="Q1" s="704" t="s">
        <v>1047</v>
      </c>
      <c r="R1" s="700" t="s">
        <v>265</v>
      </c>
      <c r="S1" s="700" t="s">
        <v>666</v>
      </c>
      <c r="T1" s="700" t="s">
        <v>728</v>
      </c>
      <c r="U1" s="700" t="s">
        <v>797</v>
      </c>
      <c r="V1" s="700" t="s">
        <v>53</v>
      </c>
      <c r="W1" s="700">
        <v>0</v>
      </c>
      <c r="X1" s="700" t="s">
        <v>1693</v>
      </c>
      <c r="Y1" s="700" t="s">
        <v>808</v>
      </c>
      <c r="Z1" s="700" t="s">
        <v>921</v>
      </c>
      <c r="AA1" s="700"/>
      <c r="AB1" s="700" t="s">
        <v>801</v>
      </c>
    </row>
    <row r="2" spans="1:32">
      <c r="A2" s="10" t="s">
        <v>2207</v>
      </c>
      <c r="B2" s="114"/>
      <c r="C2" s="114"/>
      <c r="D2" s="114"/>
      <c r="E2" s="114"/>
      <c r="F2" s="114"/>
      <c r="G2" s="114"/>
      <c r="H2" s="114"/>
      <c r="I2" s="114"/>
      <c r="K2" s="114"/>
      <c r="L2" s="114"/>
      <c r="M2" s="114"/>
      <c r="N2" s="114"/>
      <c r="O2" s="114"/>
      <c r="P2" s="114"/>
      <c r="Q2" s="114" t="s">
        <v>1033</v>
      </c>
      <c r="R2" s="251">
        <f>$D2*dpsStr+$E2*dpsAgi+$G2*dpsCrit+$H2*dpsHit+$F2*dpsAP+$I2*dpsHaste+$J2*dpsArmor+$K2*dpsExp</f>
        <v>0</v>
      </c>
      <c r="W2" s="870"/>
      <c r="AA2" s="738"/>
      <c r="AB2" s="714" t="s">
        <v>1689</v>
      </c>
    </row>
    <row r="3" spans="1:32">
      <c r="A3" s="10" t="str">
        <f>" "</f>
        <v xml:space="preserve"> </v>
      </c>
      <c r="B3" s="114"/>
      <c r="C3" s="114"/>
      <c r="D3" s="114"/>
      <c r="E3" s="114"/>
      <c r="F3" s="114"/>
      <c r="G3" s="114"/>
      <c r="H3" s="114"/>
      <c r="I3" s="114"/>
      <c r="K3" s="114"/>
      <c r="L3" s="114"/>
      <c r="M3" s="114"/>
      <c r="N3" s="114"/>
      <c r="O3" s="114"/>
      <c r="P3" s="114"/>
      <c r="Q3" s="114" t="s">
        <v>1033</v>
      </c>
      <c r="R3" s="251">
        <f t="shared" ref="R3:R93" si="0">$D3*dpsStr+$E3*dpsAgi+$G3*dpsCrit+$H3*dpsHit+$F3*dpsAP+$I3*dpsHaste+$J3*dpsArmor+$K3*dpsExp</f>
        <v>0</v>
      </c>
      <c r="W3" s="870"/>
      <c r="AA3" s="738"/>
      <c r="AB3" s="714" t="str">
        <f>" "</f>
        <v xml:space="preserve"> </v>
      </c>
    </row>
    <row r="4" spans="1:32">
      <c r="A4" s="252" t="s">
        <v>1034</v>
      </c>
      <c r="B4" s="253"/>
      <c r="C4" s="253">
        <v>1</v>
      </c>
      <c r="D4" s="253"/>
      <c r="E4" s="253"/>
      <c r="F4" s="253"/>
      <c r="G4" s="253"/>
      <c r="H4" s="253"/>
      <c r="I4" s="253"/>
      <c r="J4" s="254"/>
      <c r="K4" s="253"/>
      <c r="L4" s="253"/>
      <c r="M4" s="253"/>
      <c r="N4" s="253"/>
      <c r="O4" s="253"/>
      <c r="P4" s="253"/>
      <c r="Q4" s="253" t="s">
        <v>1035</v>
      </c>
      <c r="R4" s="255">
        <f t="shared" si="0"/>
        <v>0</v>
      </c>
      <c r="S4" s="253" t="s">
        <v>1689</v>
      </c>
      <c r="T4" s="253"/>
      <c r="U4" s="358" t="s">
        <v>1689</v>
      </c>
      <c r="V4" s="253"/>
      <c r="W4" s="870">
        <f>MAX(W$1:$W3)+1</f>
        <v>1</v>
      </c>
      <c r="X4" s="254">
        <f>SUMPRODUCT(('Gear &amp; Buffs'!$B$10:$B$71=A4)*('Gear &amp; Buffs'!$C$10:$C$71=TRUE))</f>
        <v>0</v>
      </c>
      <c r="Y4" s="256" t="b">
        <f t="shared" ref="Y4:Y86" si="1">IF(AND(T4="unique",X4&gt;0),TRUE,FALSE)</f>
        <v>0</v>
      </c>
      <c r="Z4" s="6" t="b">
        <v>0</v>
      </c>
      <c r="AA4" s="738">
        <v>1</v>
      </c>
      <c r="AB4" s="714" t="str">
        <f>IF(ISNA(INDEX($A$4:$A$105,MATCH(AA4,W$4:W$105,0))), "", INDEX($A$4:$A$105,MATCH(AA4,W$4:W$105,0)))</f>
        <v>(Red Gems)</v>
      </c>
      <c r="AF4" s="198"/>
    </row>
    <row r="5" spans="1:32">
      <c r="A5" s="252" t="s">
        <v>1694</v>
      </c>
      <c r="B5" s="253">
        <v>28362</v>
      </c>
      <c r="C5" s="253">
        <v>1</v>
      </c>
      <c r="D5" s="253"/>
      <c r="E5" s="253"/>
      <c r="F5" s="253">
        <v>20</v>
      </c>
      <c r="G5" s="253"/>
      <c r="H5" s="253"/>
      <c r="I5" s="253"/>
      <c r="J5" s="254"/>
      <c r="K5" s="253"/>
      <c r="L5" s="253"/>
      <c r="M5" s="253"/>
      <c r="N5" s="253"/>
      <c r="O5" s="253"/>
      <c r="P5" s="253"/>
      <c r="Q5" s="253" t="s">
        <v>1035</v>
      </c>
      <c r="R5" s="255">
        <f t="shared" si="0"/>
        <v>7.1466005171032521</v>
      </c>
      <c r="S5" s="253" t="s">
        <v>677</v>
      </c>
      <c r="T5" s="253" t="s">
        <v>728</v>
      </c>
      <c r="U5" s="261" t="s">
        <v>798</v>
      </c>
      <c r="V5" s="253"/>
      <c r="W5" s="870"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4">
        <f>SUMPRODUCT(('Gear &amp; Buffs'!$B$10:$B$71=A5)*('Gear &amp; Buffs'!$C$10:$C$71=TRUE))</f>
        <v>0</v>
      </c>
      <c r="Y5" s="256" t="b">
        <f t="shared" si="1"/>
        <v>0</v>
      </c>
      <c r="Z5" s="6" t="b">
        <v>0</v>
      </c>
      <c r="AA5" s="738">
        <v>2</v>
      </c>
      <c r="AB5" s="714" t="str">
        <f t="shared" ref="AB5:AB70" si="2">IF(ISNA(INDEX($A$4:$A$105,MATCH(AA5,W$4:W$105,0))), "", INDEX($A$4:$A$105,MATCH(AA5,W$4:W$105,0)))</f>
        <v>Bright Living Ruby (16ap)</v>
      </c>
      <c r="AF5" s="198"/>
    </row>
    <row r="6" spans="1:32">
      <c r="A6" s="252" t="s">
        <v>1695</v>
      </c>
      <c r="B6" s="253">
        <v>28595</v>
      </c>
      <c r="C6" s="253">
        <v>1</v>
      </c>
      <c r="D6" s="253"/>
      <c r="E6" s="253"/>
      <c r="F6" s="253">
        <v>12</v>
      </c>
      <c r="G6" s="253"/>
      <c r="H6" s="253"/>
      <c r="I6" s="253"/>
      <c r="J6" s="254"/>
      <c r="K6" s="253"/>
      <c r="L6" s="253"/>
      <c r="M6" s="253"/>
      <c r="N6" s="253"/>
      <c r="O6" s="253"/>
      <c r="P6" s="253"/>
      <c r="Q6" s="253" t="s">
        <v>1035</v>
      </c>
      <c r="R6" s="255">
        <f t="shared" si="0"/>
        <v>4.2879603102619512</v>
      </c>
      <c r="S6" s="253" t="s">
        <v>674</v>
      </c>
      <c r="T6" s="253"/>
      <c r="U6" s="324" t="s">
        <v>800</v>
      </c>
      <c r="V6" s="253"/>
      <c r="W6" s="870"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4">
        <f>SUMPRODUCT(('Gear &amp; Buffs'!$B$10:$B$71=A6)*('Gear &amp; Buffs'!$C$10:$C$71=TRUE))</f>
        <v>0</v>
      </c>
      <c r="Y6" s="256" t="b">
        <f t="shared" si="1"/>
        <v>0</v>
      </c>
      <c r="Z6" s="6" t="b">
        <v>0</v>
      </c>
      <c r="AA6" s="738">
        <v>3</v>
      </c>
      <c r="AB6" s="714" t="str">
        <f t="shared" si="2"/>
        <v>Delicate Living Ruby (8agi)</v>
      </c>
      <c r="AF6" s="198"/>
    </row>
    <row r="7" spans="1:32">
      <c r="A7" s="252" t="s">
        <v>1696</v>
      </c>
      <c r="B7" s="253">
        <v>32197</v>
      </c>
      <c r="C7" s="253">
        <v>3</v>
      </c>
      <c r="D7" s="253"/>
      <c r="E7" s="253"/>
      <c r="F7" s="253">
        <v>20</v>
      </c>
      <c r="G7" s="253"/>
      <c r="H7" s="253"/>
      <c r="I7" s="253"/>
      <c r="J7" s="254"/>
      <c r="K7" s="253"/>
      <c r="L7" s="253"/>
      <c r="M7" s="253"/>
      <c r="N7" s="253"/>
      <c r="O7" s="253"/>
      <c r="P7" s="253"/>
      <c r="Q7" s="253" t="s">
        <v>1035</v>
      </c>
      <c r="R7" s="255">
        <f t="shared" si="0"/>
        <v>7.1466005171032521</v>
      </c>
      <c r="S7" s="253" t="s">
        <v>674</v>
      </c>
      <c r="T7" s="253"/>
      <c r="U7" s="261" t="s">
        <v>798</v>
      </c>
      <c r="V7" s="253"/>
      <c r="W7" s="870"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4">
        <f>SUMPRODUCT(('Gear &amp; Buffs'!$B$10:$B$71=A7)*('Gear &amp; Buffs'!$C$10:$C$71=TRUE))</f>
        <v>0</v>
      </c>
      <c r="Y7" s="256" t="b">
        <f t="shared" si="1"/>
        <v>0</v>
      </c>
      <c r="Z7" s="6" t="b">
        <v>0</v>
      </c>
      <c r="AA7" s="738">
        <v>4</v>
      </c>
      <c r="AB7" s="714" t="str">
        <f t="shared" si="2"/>
        <v>Mighty Blood Garnet (14ap) (H)</v>
      </c>
    </row>
    <row r="8" spans="1:32">
      <c r="A8" s="252" t="s">
        <v>809</v>
      </c>
      <c r="B8" s="253">
        <v>35487</v>
      </c>
      <c r="C8" s="253">
        <v>5</v>
      </c>
      <c r="D8" s="253"/>
      <c r="E8" s="253"/>
      <c r="F8" s="253">
        <v>20</v>
      </c>
      <c r="G8" s="253"/>
      <c r="H8" s="253"/>
      <c r="I8" s="253"/>
      <c r="J8" s="254"/>
      <c r="K8" s="253"/>
      <c r="L8" s="253"/>
      <c r="M8" s="253"/>
      <c r="N8" s="253"/>
      <c r="O8" s="253"/>
      <c r="P8" s="253"/>
      <c r="Q8" s="253" t="s">
        <v>1035</v>
      </c>
      <c r="R8" s="255">
        <f t="shared" si="0"/>
        <v>7.1466005171032521</v>
      </c>
      <c r="S8" s="253" t="s">
        <v>675</v>
      </c>
      <c r="T8" s="253"/>
      <c r="U8" s="261" t="s">
        <v>798</v>
      </c>
      <c r="V8" s="253"/>
      <c r="W8" s="870"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4">
        <f>SUMPRODUCT(('Gear &amp; Buffs'!$B$10:$B$71=A8)*('Gear &amp; Buffs'!$C$10:$C$71=TRUE))</f>
        <v>0</v>
      </c>
      <c r="Y8" s="256" t="b">
        <f t="shared" si="1"/>
        <v>0</v>
      </c>
      <c r="Z8" s="6" t="b">
        <v>0</v>
      </c>
      <c r="AA8" s="738">
        <v>5</v>
      </c>
      <c r="AB8" s="714" t="str">
        <f t="shared" si="2"/>
        <v>Mighty Blood Garnet (14ap) (A)</v>
      </c>
    </row>
    <row r="9" spans="1:32">
      <c r="A9" s="252" t="s">
        <v>1697</v>
      </c>
      <c r="B9" s="253">
        <v>24031</v>
      </c>
      <c r="C9" s="253">
        <v>1</v>
      </c>
      <c r="D9" s="253"/>
      <c r="E9" s="253"/>
      <c r="F9" s="253">
        <v>16</v>
      </c>
      <c r="G9" s="253"/>
      <c r="H9" s="253"/>
      <c r="I9" s="253"/>
      <c r="J9" s="254"/>
      <c r="K9" s="253"/>
      <c r="L9" s="253"/>
      <c r="M9" s="253"/>
      <c r="N9" s="253"/>
      <c r="O9" s="253"/>
      <c r="P9" s="253"/>
      <c r="Q9" s="253" t="s">
        <v>1035</v>
      </c>
      <c r="R9" s="255">
        <f t="shared" si="0"/>
        <v>5.7172804136826016</v>
      </c>
      <c r="S9" s="253" t="s">
        <v>674</v>
      </c>
      <c r="T9" s="253"/>
      <c r="U9" s="323" t="s">
        <v>799</v>
      </c>
      <c r="V9" s="253"/>
      <c r="W9" s="870">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4">
        <f>SUMPRODUCT(('Gear &amp; Buffs'!$B$10:$B$71=A9)*('Gear &amp; Buffs'!$C$10:$C$71=TRUE))</f>
        <v>0</v>
      </c>
      <c r="Y9" s="256" t="b">
        <f t="shared" si="1"/>
        <v>0</v>
      </c>
      <c r="Z9" s="6" t="b">
        <v>0</v>
      </c>
      <c r="AA9" s="738">
        <v>6</v>
      </c>
      <c r="AB9" s="714" t="str">
        <f t="shared" si="2"/>
        <v xml:space="preserve"> </v>
      </c>
    </row>
    <row r="10" spans="1:32">
      <c r="A10" s="252" t="s">
        <v>1622</v>
      </c>
      <c r="B10" s="253">
        <v>33131</v>
      </c>
      <c r="C10" s="253">
        <v>3</v>
      </c>
      <c r="D10" s="253"/>
      <c r="E10" s="253"/>
      <c r="F10" s="253">
        <v>32</v>
      </c>
      <c r="G10" s="253"/>
      <c r="H10" s="253"/>
      <c r="I10" s="253"/>
      <c r="J10" s="254"/>
      <c r="K10" s="253"/>
      <c r="L10" s="253"/>
      <c r="M10" s="253"/>
      <c r="N10" s="253"/>
      <c r="O10" s="253"/>
      <c r="P10" s="253"/>
      <c r="Q10" s="253" t="s">
        <v>1035</v>
      </c>
      <c r="R10" s="255">
        <f t="shared" si="0"/>
        <v>11.434560827365203</v>
      </c>
      <c r="S10" s="253" t="s">
        <v>1556</v>
      </c>
      <c r="T10" s="253" t="s">
        <v>728</v>
      </c>
      <c r="U10" s="261" t="s">
        <v>798</v>
      </c>
      <c r="V10" s="253"/>
      <c r="W10" s="870"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4">
        <f>SUMPRODUCT(('Gear &amp; Buffs'!$B$10:$B$71=A10)*('Gear &amp; Buffs'!$C$10:$C$71=TRUE))</f>
        <v>0</v>
      </c>
      <c r="Y10" s="256" t="b">
        <f t="shared" si="1"/>
        <v>0</v>
      </c>
      <c r="Z10" s="6" t="b">
        <v>0</v>
      </c>
      <c r="AA10" s="738">
        <v>7</v>
      </c>
      <c r="AB10" s="714" t="str">
        <f t="shared" si="2"/>
        <v>(Purple Gems)</v>
      </c>
    </row>
    <row r="11" spans="1:32">
      <c r="A11" s="252" t="s">
        <v>1698</v>
      </c>
      <c r="B11" s="253">
        <v>23097</v>
      </c>
      <c r="C11" s="253">
        <v>1</v>
      </c>
      <c r="D11" s="253"/>
      <c r="E11" s="253">
        <v>6</v>
      </c>
      <c r="F11" s="253"/>
      <c r="G11" s="253"/>
      <c r="H11" s="253"/>
      <c r="I11" s="253"/>
      <c r="J11" s="254"/>
      <c r="K11" s="253"/>
      <c r="L11" s="253"/>
      <c r="M11" s="253"/>
      <c r="N11" s="253"/>
      <c r="O11" s="253"/>
      <c r="P11" s="253"/>
      <c r="Q11" s="253" t="s">
        <v>1035</v>
      </c>
      <c r="R11" s="255">
        <f t="shared" si="0"/>
        <v>4.9632772160098284</v>
      </c>
      <c r="S11" s="253" t="s">
        <v>674</v>
      </c>
      <c r="T11" s="253"/>
      <c r="U11" s="324" t="s">
        <v>800</v>
      </c>
      <c r="V11" s="253"/>
      <c r="W11" s="870"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4">
        <f>SUMPRODUCT(('Gear &amp; Buffs'!$B$10:$B$71=A11)*('Gear &amp; Buffs'!$C$10:$C$71=TRUE))</f>
        <v>0</v>
      </c>
      <c r="Y11" s="256" t="b">
        <f t="shared" si="1"/>
        <v>0</v>
      </c>
      <c r="Z11" s="6" t="b">
        <v>0</v>
      </c>
      <c r="AA11" s="738">
        <v>8</v>
      </c>
      <c r="AB11" s="714" t="str">
        <f t="shared" si="2"/>
        <v>Shifting Nightseye (4agi/6sta)</v>
      </c>
    </row>
    <row r="12" spans="1:32">
      <c r="A12" s="252" t="s">
        <v>1922</v>
      </c>
      <c r="B12" s="253">
        <v>32194</v>
      </c>
      <c r="C12" s="253">
        <v>3</v>
      </c>
      <c r="D12" s="253"/>
      <c r="E12" s="253">
        <v>10</v>
      </c>
      <c r="F12" s="253"/>
      <c r="G12" s="253"/>
      <c r="H12" s="253"/>
      <c r="I12" s="253"/>
      <c r="J12" s="254"/>
      <c r="K12" s="253"/>
      <c r="L12" s="253"/>
      <c r="M12" s="253"/>
      <c r="N12" s="253"/>
      <c r="O12" s="253"/>
      <c r="P12" s="253"/>
      <c r="Q12" s="253" t="s">
        <v>1035</v>
      </c>
      <c r="R12" s="255">
        <f t="shared" si="0"/>
        <v>8.272128693349714</v>
      </c>
      <c r="S12" s="253" t="s">
        <v>674</v>
      </c>
      <c r="T12" s="253"/>
      <c r="U12" s="261" t="s">
        <v>798</v>
      </c>
      <c r="V12" s="253"/>
      <c r="W12" s="870"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4">
        <f>SUMPRODUCT(('Gear &amp; Buffs'!$B$10:$B$71=A12)*('Gear &amp; Buffs'!$C$10:$C$71=TRUE))</f>
        <v>0</v>
      </c>
      <c r="Y12" s="256" t="b">
        <f t="shared" si="1"/>
        <v>0</v>
      </c>
      <c r="Z12" s="6" t="b">
        <v>0</v>
      </c>
      <c r="AA12" s="738">
        <v>9</v>
      </c>
      <c r="AB12" s="714" t="str">
        <f t="shared" si="2"/>
        <v xml:space="preserve"> </v>
      </c>
    </row>
    <row r="13" spans="1:32">
      <c r="A13" s="252" t="s">
        <v>1923</v>
      </c>
      <c r="B13" s="253">
        <v>24028</v>
      </c>
      <c r="C13" s="253">
        <v>1</v>
      </c>
      <c r="D13" s="253"/>
      <c r="E13" s="253">
        <v>8</v>
      </c>
      <c r="F13" s="253"/>
      <c r="G13" s="253"/>
      <c r="H13" s="253"/>
      <c r="I13" s="253"/>
      <c r="J13" s="254"/>
      <c r="K13" s="253"/>
      <c r="L13" s="253"/>
      <c r="M13" s="253"/>
      <c r="N13" s="253"/>
      <c r="O13" s="253"/>
      <c r="P13" s="253"/>
      <c r="Q13" s="253" t="s">
        <v>1035</v>
      </c>
      <c r="R13" s="255">
        <f t="shared" si="0"/>
        <v>6.6177029546797712</v>
      </c>
      <c r="S13" s="253" t="s">
        <v>674</v>
      </c>
      <c r="T13" s="253"/>
      <c r="U13" s="323" t="s">
        <v>799</v>
      </c>
      <c r="V13" s="253"/>
      <c r="W13" s="870">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4">
        <f>SUMPRODUCT(('Gear &amp; Buffs'!$B$10:$B$71=A13)*('Gear &amp; Buffs'!$C$10:$C$71=TRUE))</f>
        <v>0</v>
      </c>
      <c r="Y13" s="256" t="b">
        <f t="shared" si="1"/>
        <v>0</v>
      </c>
      <c r="Z13" s="6" t="b">
        <v>0</v>
      </c>
      <c r="AA13" s="738">
        <v>10</v>
      </c>
      <c r="AB13" s="714" t="str">
        <f t="shared" si="2"/>
        <v>(Blue Gems)</v>
      </c>
    </row>
    <row r="14" spans="1:32">
      <c r="A14" s="252" t="s">
        <v>86</v>
      </c>
      <c r="B14" s="253">
        <v>32199</v>
      </c>
      <c r="C14" s="253">
        <v>3</v>
      </c>
      <c r="D14" s="253"/>
      <c r="E14" s="253"/>
      <c r="F14" s="253"/>
      <c r="G14" s="253"/>
      <c r="H14" s="253"/>
      <c r="I14" s="253"/>
      <c r="J14" s="254"/>
      <c r="K14" s="253"/>
      <c r="L14" s="253"/>
      <c r="M14" s="253"/>
      <c r="N14" s="253"/>
      <c r="O14" s="253"/>
      <c r="P14" s="253"/>
      <c r="Q14" s="253" t="s">
        <v>1035</v>
      </c>
      <c r="R14" s="255">
        <f t="shared" si="0"/>
        <v>0</v>
      </c>
      <c r="S14" s="253" t="s">
        <v>674</v>
      </c>
      <c r="T14" s="253"/>
      <c r="U14" s="261" t="s">
        <v>798</v>
      </c>
      <c r="V14" s="253">
        <v>10</v>
      </c>
      <c r="W14" s="870"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4">
        <f>SUMPRODUCT(('Gear &amp; Buffs'!$B$10:$B$71=A14)*('Gear &amp; Buffs'!$C$10:$C$71=TRUE))</f>
        <v>0</v>
      </c>
      <c r="Y14" s="256" t="b">
        <f t="shared" si="1"/>
        <v>0</v>
      </c>
      <c r="Z14" s="6" t="b">
        <v>1</v>
      </c>
      <c r="AA14" s="738">
        <v>11</v>
      </c>
      <c r="AB14" s="714" t="str">
        <f t="shared" si="2"/>
        <v xml:space="preserve"> </v>
      </c>
    </row>
    <row r="15" spans="1:32">
      <c r="A15" s="252" t="s">
        <v>87</v>
      </c>
      <c r="B15" s="253">
        <v>24036</v>
      </c>
      <c r="C15" s="253">
        <v>1</v>
      </c>
      <c r="D15" s="253"/>
      <c r="E15" s="253"/>
      <c r="F15" s="253"/>
      <c r="G15" s="253"/>
      <c r="H15" s="253"/>
      <c r="I15" s="253"/>
      <c r="J15" s="254"/>
      <c r="K15" s="253"/>
      <c r="L15" s="253"/>
      <c r="M15" s="253"/>
      <c r="N15" s="253"/>
      <c r="O15" s="253"/>
      <c r="P15" s="253"/>
      <c r="Q15" s="253" t="s">
        <v>1035</v>
      </c>
      <c r="R15" s="255">
        <f t="shared" si="0"/>
        <v>0</v>
      </c>
      <c r="S15" s="253" t="s">
        <v>674</v>
      </c>
      <c r="T15" s="253"/>
      <c r="U15" s="323" t="s">
        <v>799</v>
      </c>
      <c r="V15" s="253">
        <v>8</v>
      </c>
      <c r="W15" s="870"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4">
        <f>SUMPRODUCT(('Gear &amp; Buffs'!$B$10:$B$71=A15)*('Gear &amp; Buffs'!$C$10:$C$71=TRUE))</f>
        <v>0</v>
      </c>
      <c r="Y15" s="256" t="b">
        <f t="shared" si="1"/>
        <v>0</v>
      </c>
      <c r="Z15" s="6" t="b">
        <v>1</v>
      </c>
      <c r="AA15" s="738">
        <v>12</v>
      </c>
      <c r="AB15" s="714" t="str">
        <f t="shared" si="2"/>
        <v>(Green Gems)</v>
      </c>
    </row>
    <row r="16" spans="1:32">
      <c r="A16" s="252" t="s">
        <v>1208</v>
      </c>
      <c r="B16" s="253">
        <v>28360</v>
      </c>
      <c r="C16" s="253">
        <v>1</v>
      </c>
      <c r="D16" s="253"/>
      <c r="E16" s="253"/>
      <c r="F16" s="253">
        <v>14</v>
      </c>
      <c r="G16" s="253"/>
      <c r="H16" s="253"/>
      <c r="I16" s="253"/>
      <c r="J16" s="254"/>
      <c r="K16" s="253"/>
      <c r="L16" s="253"/>
      <c r="M16" s="253"/>
      <c r="N16" s="253"/>
      <c r="O16" s="253"/>
      <c r="P16" s="253"/>
      <c r="Q16" s="253" t="s">
        <v>1035</v>
      </c>
      <c r="R16" s="255">
        <f t="shared" si="0"/>
        <v>5.0026203619722764</v>
      </c>
      <c r="S16" s="253" t="s">
        <v>677</v>
      </c>
      <c r="T16" s="253" t="s">
        <v>728</v>
      </c>
      <c r="U16" s="323" t="s">
        <v>799</v>
      </c>
      <c r="V16" s="253"/>
      <c r="W16" s="870">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4">
        <f>SUMPRODUCT(('Gear &amp; Buffs'!$B$10:$B$71=A16)*('Gear &amp; Buffs'!$C$10:$C$71=TRUE))</f>
        <v>0</v>
      </c>
      <c r="Y16" s="256" t="b">
        <f t="shared" si="1"/>
        <v>0</v>
      </c>
      <c r="Z16" s="6" t="b">
        <v>0</v>
      </c>
      <c r="AA16" s="738">
        <v>13</v>
      </c>
      <c r="AB16" s="714" t="str">
        <f t="shared" si="2"/>
        <v>Barbed Deep Peridot (3sta/4crit) (H)</v>
      </c>
    </row>
    <row r="17" spans="1:28">
      <c r="A17" s="252" t="s">
        <v>604</v>
      </c>
      <c r="B17" s="253">
        <v>28361</v>
      </c>
      <c r="C17" s="253">
        <v>1</v>
      </c>
      <c r="D17" s="253"/>
      <c r="E17" s="253"/>
      <c r="F17" s="253">
        <v>14</v>
      </c>
      <c r="G17" s="253"/>
      <c r="H17" s="253"/>
      <c r="I17" s="253"/>
      <c r="J17" s="254"/>
      <c r="K17" s="253"/>
      <c r="L17" s="253"/>
      <c r="M17" s="253"/>
      <c r="N17" s="253"/>
      <c r="O17" s="253"/>
      <c r="P17" s="253"/>
      <c r="Q17" s="253" t="s">
        <v>1035</v>
      </c>
      <c r="R17" s="255">
        <f t="shared" si="0"/>
        <v>5.0026203619722764</v>
      </c>
      <c r="S17" s="253" t="s">
        <v>677</v>
      </c>
      <c r="T17" s="253" t="s">
        <v>728</v>
      </c>
      <c r="U17" s="323" t="s">
        <v>799</v>
      </c>
      <c r="V17" s="253"/>
      <c r="W17" s="870">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4">
        <f>SUMPRODUCT(('Gear &amp; Buffs'!$B$10:$B$71=A17)*('Gear &amp; Buffs'!$C$10:$C$71=TRUE))</f>
        <v>0</v>
      </c>
      <c r="Y17" s="256" t="b">
        <f t="shared" si="1"/>
        <v>0</v>
      </c>
      <c r="Z17" s="6" t="b">
        <v>0</v>
      </c>
      <c r="AA17" s="738">
        <v>14</v>
      </c>
      <c r="AB17" s="714" t="str">
        <f t="shared" si="2"/>
        <v>Barbed Deep Peridot (3sta/4crit) (A)</v>
      </c>
    </row>
    <row r="18" spans="1:28">
      <c r="A18" s="252" t="s">
        <v>454</v>
      </c>
      <c r="B18" s="253">
        <v>32198</v>
      </c>
      <c r="C18" s="253">
        <v>3</v>
      </c>
      <c r="D18" s="253"/>
      <c r="E18" s="253"/>
      <c r="F18" s="253"/>
      <c r="G18" s="253"/>
      <c r="H18" s="253"/>
      <c r="I18" s="253"/>
      <c r="J18" s="254"/>
      <c r="K18" s="253"/>
      <c r="L18" s="253"/>
      <c r="M18" s="253">
        <v>10</v>
      </c>
      <c r="N18" s="253"/>
      <c r="O18" s="253"/>
      <c r="P18" s="253"/>
      <c r="Q18" s="253" t="s">
        <v>1035</v>
      </c>
      <c r="R18" s="255">
        <f t="shared" si="0"/>
        <v>0</v>
      </c>
      <c r="S18" s="253" t="s">
        <v>674</v>
      </c>
      <c r="T18" s="253"/>
      <c r="U18" s="261" t="s">
        <v>798</v>
      </c>
      <c r="V18" s="253"/>
      <c r="W18" s="870"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4">
        <f>SUMPRODUCT(('Gear &amp; Buffs'!$B$10:$B$71=A18)*('Gear &amp; Buffs'!$C$10:$C$71=TRUE))</f>
        <v>0</v>
      </c>
      <c r="Y18" s="256" t="b">
        <f t="shared" si="1"/>
        <v>0</v>
      </c>
      <c r="Z18" s="6" t="b">
        <v>1</v>
      </c>
      <c r="AA18" s="738">
        <v>15</v>
      </c>
      <c r="AB18" s="714" t="str">
        <f t="shared" si="2"/>
        <v>Jagged Talasite (6sta/4crit)</v>
      </c>
    </row>
    <row r="19" spans="1:28">
      <c r="A19" s="252" t="s">
        <v>455</v>
      </c>
      <c r="B19" s="253">
        <v>24032</v>
      </c>
      <c r="C19" s="253">
        <v>1</v>
      </c>
      <c r="D19" s="253"/>
      <c r="E19" s="253"/>
      <c r="F19" s="253"/>
      <c r="G19" s="253"/>
      <c r="H19" s="253"/>
      <c r="I19" s="253"/>
      <c r="J19" s="254"/>
      <c r="K19" s="253"/>
      <c r="L19" s="253"/>
      <c r="M19" s="253">
        <v>8</v>
      </c>
      <c r="N19" s="253"/>
      <c r="O19" s="253"/>
      <c r="P19" s="253"/>
      <c r="Q19" s="253" t="s">
        <v>1035</v>
      </c>
      <c r="R19" s="255">
        <f t="shared" si="0"/>
        <v>0</v>
      </c>
      <c r="S19" s="253" t="s">
        <v>674</v>
      </c>
      <c r="T19" s="253"/>
      <c r="U19" s="323" t="s">
        <v>799</v>
      </c>
      <c r="V19" s="253"/>
      <c r="W19" s="870"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4">
        <f>SUMPRODUCT(('Gear &amp; Buffs'!$B$10:$B$71=A19)*('Gear &amp; Buffs'!$C$10:$C$71=TRUE))</f>
        <v>0</v>
      </c>
      <c r="Y19" s="256" t="b">
        <f t="shared" si="1"/>
        <v>0</v>
      </c>
      <c r="Z19" s="6" t="b">
        <v>1</v>
      </c>
      <c r="AA19" s="738">
        <v>16</v>
      </c>
      <c r="AB19" s="714" t="str">
        <f t="shared" si="2"/>
        <v xml:space="preserve"> </v>
      </c>
    </row>
    <row r="20" spans="1:28">
      <c r="A20" s="1351" t="str">
        <f>" "</f>
        <v xml:space="preserve"> </v>
      </c>
      <c r="B20" s="114"/>
      <c r="C20" s="114"/>
      <c r="D20" s="114"/>
      <c r="E20" s="114"/>
      <c r="F20" s="114"/>
      <c r="G20" s="114"/>
      <c r="H20" s="114"/>
      <c r="I20" s="114"/>
      <c r="K20" s="114"/>
      <c r="L20" s="114"/>
      <c r="M20" s="114"/>
      <c r="N20" s="114"/>
      <c r="O20" s="114"/>
      <c r="P20" s="114"/>
      <c r="Q20" s="114" t="s">
        <v>1033</v>
      </c>
      <c r="R20" s="251">
        <f t="shared" si="0"/>
        <v>0</v>
      </c>
      <c r="S20" s="120" t="s">
        <v>1689</v>
      </c>
      <c r="U20" s="6" t="s">
        <v>1689</v>
      </c>
      <c r="W20" s="870">
        <f>MAX(W$1:$W19)+1</f>
        <v>6</v>
      </c>
      <c r="X20" s="120">
        <f>SUMPRODUCT(('Gear &amp; Buffs'!$B$10:$B$71=A20)*('Gear &amp; Buffs'!$C$10:$C$71=TRUE))</f>
        <v>0</v>
      </c>
      <c r="Y20" s="6" t="b">
        <f t="shared" si="1"/>
        <v>0</v>
      </c>
      <c r="Z20" s="6" t="b">
        <v>0</v>
      </c>
      <c r="AA20" s="738">
        <v>17</v>
      </c>
      <c r="AB20" s="714" t="str">
        <f t="shared" si="2"/>
        <v>(Yellow Gems)</v>
      </c>
    </row>
    <row r="21" spans="1:28">
      <c r="A21" s="257" t="s">
        <v>1036</v>
      </c>
      <c r="B21" s="258"/>
      <c r="C21" s="258">
        <v>1</v>
      </c>
      <c r="D21" s="258"/>
      <c r="E21" s="258"/>
      <c r="F21" s="258"/>
      <c r="G21" s="258"/>
      <c r="H21" s="258"/>
      <c r="I21" s="258"/>
      <c r="J21" s="259"/>
      <c r="K21" s="258"/>
      <c r="L21" s="258"/>
      <c r="M21" s="258"/>
      <c r="N21" s="258"/>
      <c r="O21" s="258"/>
      <c r="P21" s="258"/>
      <c r="Q21" s="258" t="s">
        <v>1037</v>
      </c>
      <c r="R21" s="260">
        <f t="shared" si="0"/>
        <v>0</v>
      </c>
      <c r="S21" s="258" t="s">
        <v>1689</v>
      </c>
      <c r="T21" s="258"/>
      <c r="U21" s="358" t="s">
        <v>1689</v>
      </c>
      <c r="V21" s="258"/>
      <c r="W21" s="870">
        <f>MAX(W$1:$W20)+1</f>
        <v>7</v>
      </c>
      <c r="X21" s="259">
        <f>SUMPRODUCT(('Gear &amp; Buffs'!$B$10:$B$71=A21)*('Gear &amp; Buffs'!$C$10:$C$71=TRUE))</f>
        <v>0</v>
      </c>
      <c r="Y21" s="261" t="b">
        <f t="shared" si="1"/>
        <v>0</v>
      </c>
      <c r="Z21" s="6" t="b">
        <v>0</v>
      </c>
      <c r="AA21" s="738">
        <v>18</v>
      </c>
      <c r="AB21" s="714" t="str">
        <f t="shared" si="2"/>
        <v>Rigid Dawnstone (8hit)</v>
      </c>
    </row>
    <row r="22" spans="1:28">
      <c r="A22" s="257" t="s">
        <v>2286</v>
      </c>
      <c r="B22" s="258">
        <v>31863</v>
      </c>
      <c r="C22" s="258">
        <v>3</v>
      </c>
      <c r="D22" s="258"/>
      <c r="E22" s="258"/>
      <c r="F22" s="258">
        <v>8</v>
      </c>
      <c r="G22" s="258"/>
      <c r="H22" s="258"/>
      <c r="I22" s="258"/>
      <c r="J22" s="259"/>
      <c r="K22" s="258"/>
      <c r="L22" s="258">
        <v>6</v>
      </c>
      <c r="M22" s="258"/>
      <c r="N22" s="258"/>
      <c r="O22" s="258"/>
      <c r="P22" s="258"/>
      <c r="Q22" s="258" t="s">
        <v>1037</v>
      </c>
      <c r="R22" s="260">
        <f t="shared" si="0"/>
        <v>2.8586402068413008</v>
      </c>
      <c r="S22" s="258" t="s">
        <v>674</v>
      </c>
      <c r="T22" s="258"/>
      <c r="U22" s="323" t="s">
        <v>799</v>
      </c>
      <c r="V22" s="258"/>
      <c r="W22" s="870" t="str">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
      </c>
      <c r="X22" s="259">
        <f>SUMPRODUCT(('Gear &amp; Buffs'!$B$10:$B$71=A22)*('Gear &amp; Buffs'!$C$10:$C$71=TRUE))</f>
        <v>0</v>
      </c>
      <c r="Y22" s="261" t="b">
        <f t="shared" si="1"/>
        <v>0</v>
      </c>
      <c r="Z22" s="6" t="b">
        <v>0</v>
      </c>
      <c r="AA22" s="738">
        <v>19</v>
      </c>
      <c r="AB22" s="714" t="str">
        <f t="shared" si="2"/>
        <v>Smooth Dawnstone (8crit)</v>
      </c>
    </row>
    <row r="23" spans="1:28">
      <c r="A23" s="257" t="s">
        <v>1496</v>
      </c>
      <c r="B23" s="258">
        <v>31862</v>
      </c>
      <c r="C23" s="258">
        <v>3</v>
      </c>
      <c r="D23" s="258"/>
      <c r="E23" s="258"/>
      <c r="F23" s="258">
        <v>6</v>
      </c>
      <c r="G23" s="258"/>
      <c r="H23" s="258"/>
      <c r="I23" s="258"/>
      <c r="J23" s="259"/>
      <c r="K23" s="258"/>
      <c r="L23" s="258">
        <v>4</v>
      </c>
      <c r="M23" s="258"/>
      <c r="N23" s="258"/>
      <c r="O23" s="258"/>
      <c r="P23" s="258"/>
      <c r="Q23" s="258" t="s">
        <v>1037</v>
      </c>
      <c r="R23" s="260">
        <f t="shared" si="0"/>
        <v>2.1439801551309756</v>
      </c>
      <c r="S23" s="258" t="s">
        <v>674</v>
      </c>
      <c r="T23" s="258"/>
      <c r="U23" s="324" t="s">
        <v>800</v>
      </c>
      <c r="V23" s="258"/>
      <c r="W23" s="870"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9">
        <f>SUMPRODUCT(('Gear &amp; Buffs'!$B$10:$B$71=A23)*('Gear &amp; Buffs'!$C$10:$C$71=TRUE))</f>
        <v>0</v>
      </c>
      <c r="Y23" s="261" t="b">
        <f t="shared" si="1"/>
        <v>0</v>
      </c>
      <c r="Z23" s="6" t="b">
        <v>0</v>
      </c>
      <c r="AA23" s="738">
        <v>20</v>
      </c>
      <c r="AB23" s="714" t="str">
        <f t="shared" si="2"/>
        <v xml:space="preserve"> </v>
      </c>
    </row>
    <row r="24" spans="1:28">
      <c r="A24" s="257" t="s">
        <v>1718</v>
      </c>
      <c r="B24" s="258">
        <v>32213</v>
      </c>
      <c r="C24" s="258">
        <v>3</v>
      </c>
      <c r="D24" s="258"/>
      <c r="E24" s="258"/>
      <c r="F24" s="258">
        <v>10</v>
      </c>
      <c r="G24" s="258"/>
      <c r="H24" s="258"/>
      <c r="I24" s="258"/>
      <c r="J24" s="259"/>
      <c r="K24" s="258"/>
      <c r="L24" s="258">
        <v>7</v>
      </c>
      <c r="M24" s="258"/>
      <c r="N24" s="258"/>
      <c r="O24" s="258"/>
      <c r="P24" s="258"/>
      <c r="Q24" s="258" t="s">
        <v>1037</v>
      </c>
      <c r="R24" s="260">
        <f t="shared" si="0"/>
        <v>3.573300258551626</v>
      </c>
      <c r="S24" s="258" t="s">
        <v>674</v>
      </c>
      <c r="T24" s="258"/>
      <c r="U24" s="261" t="s">
        <v>798</v>
      </c>
      <c r="V24" s="258"/>
      <c r="W24" s="870"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9">
        <f>SUMPRODUCT(('Gear &amp; Buffs'!$B$10:$B$71=A24)*('Gear &amp; Buffs'!$C$10:$C$71=TRUE))</f>
        <v>0</v>
      </c>
      <c r="Y24" s="261" t="b">
        <f t="shared" si="1"/>
        <v>0</v>
      </c>
      <c r="Z24" s="6" t="b">
        <v>0</v>
      </c>
      <c r="AA24" s="738">
        <v>21</v>
      </c>
      <c r="AB24" s="714" t="str">
        <f t="shared" si="2"/>
        <v>(Orange Gems)</v>
      </c>
    </row>
    <row r="25" spans="1:28">
      <c r="A25" s="257" t="s">
        <v>2287</v>
      </c>
      <c r="B25" s="258">
        <v>30574</v>
      </c>
      <c r="C25" s="258">
        <v>1</v>
      </c>
      <c r="D25" s="258"/>
      <c r="E25" s="258"/>
      <c r="F25" s="258">
        <v>10</v>
      </c>
      <c r="G25" s="258"/>
      <c r="H25" s="258"/>
      <c r="I25" s="258"/>
      <c r="J25" s="259"/>
      <c r="K25" s="258"/>
      <c r="L25" s="258">
        <v>6</v>
      </c>
      <c r="M25" s="258"/>
      <c r="N25" s="258"/>
      <c r="O25" s="258"/>
      <c r="P25" s="258"/>
      <c r="Q25" s="258" t="s">
        <v>1037</v>
      </c>
      <c r="R25" s="260">
        <f t="shared" si="0"/>
        <v>3.573300258551626</v>
      </c>
      <c r="S25" s="258" t="s">
        <v>691</v>
      </c>
      <c r="T25" s="258"/>
      <c r="U25" s="261" t="s">
        <v>798</v>
      </c>
      <c r="V25" s="258"/>
      <c r="W25" s="870"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9">
        <f>SUMPRODUCT(('Gear &amp; Buffs'!$B$10:$B$71=A25)*('Gear &amp; Buffs'!$C$10:$C$71=TRUE))</f>
        <v>0</v>
      </c>
      <c r="Y25" s="261" t="b">
        <f t="shared" si="1"/>
        <v>0</v>
      </c>
      <c r="Z25" s="6" t="b">
        <v>0</v>
      </c>
      <c r="AA25" s="738">
        <v>22</v>
      </c>
      <c r="AB25" s="714" t="str">
        <f t="shared" si="2"/>
        <v>Glinting Noble Topaz (4agi/4hit)</v>
      </c>
    </row>
    <row r="26" spans="1:28">
      <c r="A26" s="257" t="s">
        <v>88</v>
      </c>
      <c r="B26" s="258">
        <v>30566</v>
      </c>
      <c r="C26" s="258">
        <v>1</v>
      </c>
      <c r="D26" s="258"/>
      <c r="E26" s="258"/>
      <c r="F26" s="258"/>
      <c r="G26" s="258"/>
      <c r="H26" s="258"/>
      <c r="I26" s="258"/>
      <c r="J26" s="259"/>
      <c r="K26" s="258"/>
      <c r="L26" s="258">
        <v>6</v>
      </c>
      <c r="M26" s="258"/>
      <c r="N26" s="258"/>
      <c r="O26" s="258"/>
      <c r="P26" s="258"/>
      <c r="Q26" s="258" t="s">
        <v>1037</v>
      </c>
      <c r="R26" s="260">
        <f t="shared" si="0"/>
        <v>0</v>
      </c>
      <c r="S26" s="258" t="s">
        <v>691</v>
      </c>
      <c r="T26" s="258"/>
      <c r="U26" s="261" t="s">
        <v>798</v>
      </c>
      <c r="V26" s="258">
        <v>5</v>
      </c>
      <c r="W26" s="870"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9">
        <f>SUMPRODUCT(('Gear &amp; Buffs'!$B$10:$B$71=A26)*('Gear &amp; Buffs'!$C$10:$C$71=TRUE))</f>
        <v>0</v>
      </c>
      <c r="Y26" s="261" t="b">
        <f t="shared" si="1"/>
        <v>0</v>
      </c>
      <c r="Z26" s="6" t="b">
        <v>1</v>
      </c>
      <c r="AA26" s="738">
        <v>23</v>
      </c>
      <c r="AB26" s="714" t="str">
        <f t="shared" si="2"/>
        <v>Inscribed Noble Topaz (4str/4crit)</v>
      </c>
    </row>
    <row r="27" spans="1:28">
      <c r="A27" s="257" t="s">
        <v>2288</v>
      </c>
      <c r="B27" s="258">
        <v>31118</v>
      </c>
      <c r="C27" s="258">
        <v>1</v>
      </c>
      <c r="D27" s="258"/>
      <c r="E27" s="258"/>
      <c r="F27" s="258">
        <v>10</v>
      </c>
      <c r="G27" s="258"/>
      <c r="H27" s="258"/>
      <c r="I27" s="258"/>
      <c r="J27" s="259"/>
      <c r="K27" s="258"/>
      <c r="L27" s="258">
        <v>6</v>
      </c>
      <c r="M27" s="258"/>
      <c r="N27" s="258"/>
      <c r="O27" s="258"/>
      <c r="P27" s="258"/>
      <c r="Q27" s="258" t="s">
        <v>1037</v>
      </c>
      <c r="R27" s="260">
        <f t="shared" si="0"/>
        <v>3.573300258551626</v>
      </c>
      <c r="S27" s="258" t="s">
        <v>675</v>
      </c>
      <c r="T27" s="258"/>
      <c r="U27" s="261" t="s">
        <v>798</v>
      </c>
      <c r="V27" s="258"/>
      <c r="W27" s="870"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9">
        <f>SUMPRODUCT(('Gear &amp; Buffs'!$B$10:$B$71=A27)*('Gear &amp; Buffs'!$C$10:$C$71=TRUE))</f>
        <v>0</v>
      </c>
      <c r="Y27" s="261" t="b">
        <f t="shared" si="1"/>
        <v>0</v>
      </c>
      <c r="Z27" s="6" t="b">
        <v>0</v>
      </c>
      <c r="AA27" s="738">
        <v>24</v>
      </c>
      <c r="AB27" s="714" t="str">
        <f t="shared" si="2"/>
        <v/>
      </c>
    </row>
    <row r="28" spans="1:28">
      <c r="A28" s="257" t="s">
        <v>81</v>
      </c>
      <c r="B28" s="258">
        <v>30563</v>
      </c>
      <c r="C28" s="258">
        <v>5</v>
      </c>
      <c r="D28" s="258"/>
      <c r="E28" s="258"/>
      <c r="F28" s="258"/>
      <c r="G28" s="258"/>
      <c r="H28" s="258"/>
      <c r="I28" s="258"/>
      <c r="J28" s="259"/>
      <c r="K28" s="258"/>
      <c r="L28" s="258">
        <v>6</v>
      </c>
      <c r="M28" s="258">
        <v>4</v>
      </c>
      <c r="N28" s="258"/>
      <c r="O28" s="258"/>
      <c r="P28" s="258"/>
      <c r="Q28" s="258" t="s">
        <v>1037</v>
      </c>
      <c r="R28" s="260">
        <f t="shared" si="0"/>
        <v>0</v>
      </c>
      <c r="S28" s="258" t="s">
        <v>691</v>
      </c>
      <c r="T28" s="258"/>
      <c r="U28" s="323" t="s">
        <v>799</v>
      </c>
      <c r="V28" s="258"/>
      <c r="W28" s="870"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9">
        <f>SUMPRODUCT(('Gear &amp; Buffs'!$B$10:$B$71=A28)*('Gear &amp; Buffs'!$C$10:$C$71=TRUE))</f>
        <v>0</v>
      </c>
      <c r="Y28" s="261" t="b">
        <f t="shared" si="1"/>
        <v>0</v>
      </c>
      <c r="Z28" s="6" t="b">
        <v>1</v>
      </c>
      <c r="AA28" s="738">
        <v>25</v>
      </c>
      <c r="AB28" s="714" t="str">
        <f t="shared" si="2"/>
        <v/>
      </c>
    </row>
    <row r="29" spans="1:28">
      <c r="A29" s="257" t="s">
        <v>2289</v>
      </c>
      <c r="B29" s="258">
        <v>30563</v>
      </c>
      <c r="C29" s="258">
        <v>1</v>
      </c>
      <c r="D29" s="258"/>
      <c r="E29" s="258"/>
      <c r="F29" s="258"/>
      <c r="G29" s="258"/>
      <c r="H29" s="258"/>
      <c r="I29" s="258"/>
      <c r="J29" s="259"/>
      <c r="K29" s="258"/>
      <c r="L29" s="258">
        <v>6</v>
      </c>
      <c r="M29" s="258">
        <v>5</v>
      </c>
      <c r="N29" s="258"/>
      <c r="O29" s="258"/>
      <c r="P29" s="258"/>
      <c r="Q29" s="258" t="s">
        <v>1037</v>
      </c>
      <c r="R29" s="260">
        <f t="shared" si="0"/>
        <v>0</v>
      </c>
      <c r="S29" s="258" t="s">
        <v>691</v>
      </c>
      <c r="T29" s="258"/>
      <c r="U29" s="261" t="s">
        <v>798</v>
      </c>
      <c r="V29" s="258"/>
      <c r="W29" s="870"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9">
        <f>SUMPRODUCT(('Gear &amp; Buffs'!$B$10:$B$71=A29)*('Gear &amp; Buffs'!$C$10:$C$71=TRUE))</f>
        <v>0</v>
      </c>
      <c r="Y29" s="261" t="b">
        <f t="shared" si="1"/>
        <v>0</v>
      </c>
      <c r="Z29" s="6" t="b">
        <v>1</v>
      </c>
      <c r="AA29" s="738">
        <v>26</v>
      </c>
      <c r="AB29" s="714" t="str">
        <f t="shared" si="2"/>
        <v/>
      </c>
    </row>
    <row r="30" spans="1:28">
      <c r="A30" s="257" t="s">
        <v>1979</v>
      </c>
      <c r="B30" s="258">
        <v>24055</v>
      </c>
      <c r="C30" s="258">
        <v>1</v>
      </c>
      <c r="D30" s="258"/>
      <c r="E30" s="258">
        <v>4</v>
      </c>
      <c r="F30" s="258"/>
      <c r="G30" s="258"/>
      <c r="H30" s="258"/>
      <c r="I30" s="258"/>
      <c r="J30" s="259"/>
      <c r="K30" s="258"/>
      <c r="L30" s="258">
        <v>6</v>
      </c>
      <c r="M30" s="258"/>
      <c r="N30" s="258"/>
      <c r="O30" s="258"/>
      <c r="P30" s="258"/>
      <c r="Q30" s="258" t="s">
        <v>1037</v>
      </c>
      <c r="R30" s="260">
        <f t="shared" si="0"/>
        <v>3.3088514773398856</v>
      </c>
      <c r="S30" s="258" t="s">
        <v>674</v>
      </c>
      <c r="T30" s="258"/>
      <c r="U30" s="323" t="s">
        <v>799</v>
      </c>
      <c r="V30" s="258"/>
      <c r="W30" s="870">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8</v>
      </c>
      <c r="X30" s="259">
        <f>SUMPRODUCT(('Gear &amp; Buffs'!$B$10:$B$71=A30)*('Gear &amp; Buffs'!$C$10:$C$71=TRUE))</f>
        <v>2</v>
      </c>
      <c r="Y30" s="261" t="b">
        <f t="shared" si="1"/>
        <v>0</v>
      </c>
      <c r="Z30" s="6" t="b">
        <v>0</v>
      </c>
      <c r="AA30" s="738">
        <v>27</v>
      </c>
      <c r="AB30" s="714" t="str">
        <f t="shared" si="2"/>
        <v/>
      </c>
    </row>
    <row r="31" spans="1:28">
      <c r="A31" s="257" t="s">
        <v>1980</v>
      </c>
      <c r="B31" s="258">
        <v>23110</v>
      </c>
      <c r="C31" s="258">
        <v>1</v>
      </c>
      <c r="D31" s="258"/>
      <c r="E31" s="258">
        <v>3</v>
      </c>
      <c r="F31" s="258"/>
      <c r="G31" s="258"/>
      <c r="H31" s="258"/>
      <c r="I31" s="258"/>
      <c r="J31" s="259"/>
      <c r="K31" s="258"/>
      <c r="L31" s="258">
        <v>4</v>
      </c>
      <c r="M31" s="258"/>
      <c r="N31" s="258"/>
      <c r="O31" s="258"/>
      <c r="P31" s="258"/>
      <c r="Q31" s="258" t="s">
        <v>1037</v>
      </c>
      <c r="R31" s="260">
        <f t="shared" si="0"/>
        <v>2.4816386080049142</v>
      </c>
      <c r="S31" s="258" t="s">
        <v>674</v>
      </c>
      <c r="T31" s="258"/>
      <c r="U31" s="324" t="s">
        <v>800</v>
      </c>
      <c r="V31" s="258"/>
      <c r="W31" s="870"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9">
        <f>SUMPRODUCT(('Gear &amp; Buffs'!$B$10:$B$71=A31)*('Gear &amp; Buffs'!$C$10:$C$71=TRUE))</f>
        <v>0</v>
      </c>
      <c r="Y31" s="261" t="b">
        <f t="shared" si="1"/>
        <v>0</v>
      </c>
      <c r="Z31" s="6" t="b">
        <v>0</v>
      </c>
      <c r="AA31" s="738">
        <v>28</v>
      </c>
      <c r="AB31" s="714" t="str">
        <f t="shared" si="2"/>
        <v/>
      </c>
    </row>
    <row r="32" spans="1:28">
      <c r="A32" s="257" t="s">
        <v>1981</v>
      </c>
      <c r="B32" s="258">
        <v>32212</v>
      </c>
      <c r="C32" s="258">
        <v>3</v>
      </c>
      <c r="D32" s="258"/>
      <c r="E32" s="258">
        <v>5</v>
      </c>
      <c r="F32" s="258"/>
      <c r="G32" s="258"/>
      <c r="H32" s="258"/>
      <c r="I32" s="258"/>
      <c r="J32" s="259"/>
      <c r="K32" s="258"/>
      <c r="L32" s="258">
        <v>7</v>
      </c>
      <c r="M32" s="258"/>
      <c r="N32" s="258"/>
      <c r="O32" s="258"/>
      <c r="P32" s="258"/>
      <c r="Q32" s="258" t="s">
        <v>1037</v>
      </c>
      <c r="R32" s="260">
        <f t="shared" si="0"/>
        <v>4.136064346674857</v>
      </c>
      <c r="S32" s="258" t="s">
        <v>674</v>
      </c>
      <c r="T32" s="258"/>
      <c r="U32" s="261" t="s">
        <v>798</v>
      </c>
      <c r="V32" s="258"/>
      <c r="W32" s="870"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9">
        <f>SUMPRODUCT(('Gear &amp; Buffs'!$B$10:$B$71=A32)*('Gear &amp; Buffs'!$C$10:$C$71=TRUE))</f>
        <v>0</v>
      </c>
      <c r="Y32" s="261" t="b">
        <f t="shared" si="1"/>
        <v>0</v>
      </c>
      <c r="Z32" s="6" t="b">
        <v>0</v>
      </c>
      <c r="AA32" s="738">
        <v>29</v>
      </c>
      <c r="AB32" s="714" t="str">
        <f t="shared" si="2"/>
        <v/>
      </c>
    </row>
    <row r="33" spans="1:28">
      <c r="A33" s="257" t="s">
        <v>1350</v>
      </c>
      <c r="B33" s="258">
        <v>30549</v>
      </c>
      <c r="C33" s="258">
        <v>1</v>
      </c>
      <c r="D33" s="258"/>
      <c r="E33" s="258">
        <v>5</v>
      </c>
      <c r="F33" s="258"/>
      <c r="G33" s="258"/>
      <c r="H33" s="258"/>
      <c r="I33" s="258"/>
      <c r="J33" s="259"/>
      <c r="K33" s="258"/>
      <c r="L33" s="258">
        <v>6</v>
      </c>
      <c r="M33" s="258"/>
      <c r="N33" s="258"/>
      <c r="O33" s="258"/>
      <c r="P33" s="258"/>
      <c r="Q33" s="258" t="s">
        <v>1037</v>
      </c>
      <c r="R33" s="260">
        <f t="shared" si="0"/>
        <v>4.136064346674857</v>
      </c>
      <c r="S33" s="258" t="s">
        <v>691</v>
      </c>
      <c r="T33" s="258"/>
      <c r="U33" s="261" t="s">
        <v>798</v>
      </c>
      <c r="V33" s="258"/>
      <c r="W33" s="870"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9">
        <f>SUMPRODUCT(('Gear &amp; Buffs'!$B$10:$B$71=A33)*('Gear &amp; Buffs'!$C$10:$C$71=TRUE))</f>
        <v>0</v>
      </c>
      <c r="Y33" s="261" t="b">
        <f t="shared" si="1"/>
        <v>0</v>
      </c>
      <c r="Z33" s="6" t="b">
        <v>0</v>
      </c>
      <c r="AA33" s="738">
        <v>30</v>
      </c>
      <c r="AB33" s="714" t="str">
        <f t="shared" si="2"/>
        <v/>
      </c>
    </row>
    <row r="34" spans="1:28">
      <c r="A34" s="257" t="s">
        <v>80</v>
      </c>
      <c r="B34" s="258">
        <v>30546</v>
      </c>
      <c r="C34" s="258">
        <v>1</v>
      </c>
      <c r="D34" s="258">
        <v>5</v>
      </c>
      <c r="E34" s="258"/>
      <c r="F34" s="258"/>
      <c r="G34" s="258"/>
      <c r="H34" s="258"/>
      <c r="I34" s="258"/>
      <c r="J34" s="259"/>
      <c r="K34" s="258"/>
      <c r="L34" s="258">
        <v>6</v>
      </c>
      <c r="M34" s="258"/>
      <c r="N34" s="258"/>
      <c r="O34" s="258"/>
      <c r="P34" s="258"/>
      <c r="Q34" s="258" t="s">
        <v>1037</v>
      </c>
      <c r="R34" s="260">
        <f t="shared" si="0"/>
        <v>1.9653151422062365</v>
      </c>
      <c r="S34" s="258" t="s">
        <v>691</v>
      </c>
      <c r="T34" s="258"/>
      <c r="U34" s="261" t="s">
        <v>798</v>
      </c>
      <c r="V34" s="258"/>
      <c r="W34" s="870"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9">
        <f>SUMPRODUCT(('Gear &amp; Buffs'!$B$10:$B$71=A34)*('Gear &amp; Buffs'!$C$10:$C$71=TRUE))</f>
        <v>0</v>
      </c>
      <c r="Y34" s="261" t="b">
        <f t="shared" si="1"/>
        <v>0</v>
      </c>
      <c r="Z34" s="6" t="b">
        <v>0</v>
      </c>
      <c r="AA34" s="738">
        <v>31</v>
      </c>
      <c r="AB34" s="714" t="str">
        <f t="shared" si="2"/>
        <v/>
      </c>
    </row>
    <row r="35" spans="1:28">
      <c r="A35" s="257" t="s">
        <v>1498</v>
      </c>
      <c r="B35" s="258">
        <v>32634</v>
      </c>
      <c r="C35" s="258">
        <v>3</v>
      </c>
      <c r="D35" s="258"/>
      <c r="E35" s="258"/>
      <c r="F35" s="258">
        <v>8</v>
      </c>
      <c r="G35" s="258"/>
      <c r="H35" s="258"/>
      <c r="I35" s="258"/>
      <c r="J35" s="259"/>
      <c r="K35" s="258"/>
      <c r="L35" s="258">
        <v>6</v>
      </c>
      <c r="M35" s="258"/>
      <c r="N35" s="258"/>
      <c r="O35" s="258"/>
      <c r="P35" s="258"/>
      <c r="Q35" s="258" t="s">
        <v>1037</v>
      </c>
      <c r="R35" s="260">
        <f t="shared" si="0"/>
        <v>2.8586402068413008</v>
      </c>
      <c r="S35" s="258" t="s">
        <v>675</v>
      </c>
      <c r="T35" s="258" t="s">
        <v>728</v>
      </c>
      <c r="U35" s="323" t="s">
        <v>799</v>
      </c>
      <c r="V35" s="258"/>
      <c r="W35" s="870"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9">
        <f>SUMPRODUCT(('Gear &amp; Buffs'!$B$10:$B$71=A35)*('Gear &amp; Buffs'!$C$10:$C$71=TRUE))</f>
        <v>0</v>
      </c>
      <c r="Y35" s="261" t="b">
        <f t="shared" si="1"/>
        <v>0</v>
      </c>
      <c r="Z35" s="6" t="b">
        <v>0</v>
      </c>
      <c r="AA35" s="738">
        <v>32</v>
      </c>
      <c r="AB35" s="714" t="str">
        <f t="shared" si="2"/>
        <v/>
      </c>
    </row>
    <row r="36" spans="1:28">
      <c r="A36" s="10" t="str">
        <f>" "</f>
        <v xml:space="preserve"> </v>
      </c>
      <c r="B36" s="114"/>
      <c r="C36" s="114"/>
      <c r="D36" s="114"/>
      <c r="E36" s="114"/>
      <c r="F36" s="114"/>
      <c r="G36" s="114"/>
      <c r="H36" s="114"/>
      <c r="I36" s="114"/>
      <c r="K36" s="114"/>
      <c r="L36" s="114"/>
      <c r="M36" s="114"/>
      <c r="N36" s="114"/>
      <c r="O36" s="114"/>
      <c r="P36" s="114"/>
      <c r="Q36" s="114" t="s">
        <v>1033</v>
      </c>
      <c r="R36" s="251">
        <f t="shared" si="0"/>
        <v>0</v>
      </c>
      <c r="S36" s="120" t="s">
        <v>1689</v>
      </c>
      <c r="U36" s="6" t="s">
        <v>1689</v>
      </c>
      <c r="W36" s="870">
        <f>MAX(W$1:$W35)+1</f>
        <v>9</v>
      </c>
      <c r="X36" s="120">
        <f>SUMPRODUCT(('Gear &amp; Buffs'!$B$10:$B$71=A36)*('Gear &amp; Buffs'!$C$10:$C$71=TRUE))</f>
        <v>0</v>
      </c>
      <c r="Y36" s="6" t="b">
        <f t="shared" si="1"/>
        <v>0</v>
      </c>
      <c r="Z36" s="6" t="b">
        <v>0</v>
      </c>
      <c r="AA36" s="738">
        <v>33</v>
      </c>
      <c r="AB36" s="714" t="str">
        <f t="shared" si="2"/>
        <v/>
      </c>
    </row>
    <row r="37" spans="1:28">
      <c r="A37" s="262" t="s">
        <v>1038</v>
      </c>
      <c r="B37" s="263"/>
      <c r="C37" s="263">
        <v>1</v>
      </c>
      <c r="D37" s="263"/>
      <c r="E37" s="263"/>
      <c r="F37" s="263"/>
      <c r="G37" s="263"/>
      <c r="H37" s="263"/>
      <c r="I37" s="263"/>
      <c r="J37" s="264"/>
      <c r="K37" s="263"/>
      <c r="L37" s="263"/>
      <c r="M37" s="263"/>
      <c r="N37" s="263"/>
      <c r="O37" s="263"/>
      <c r="P37" s="263"/>
      <c r="Q37" s="263" t="s">
        <v>1039</v>
      </c>
      <c r="R37" s="265">
        <f t="shared" si="0"/>
        <v>0</v>
      </c>
      <c r="S37" s="263" t="s">
        <v>1689</v>
      </c>
      <c r="T37" s="263"/>
      <c r="U37" s="358" t="s">
        <v>1689</v>
      </c>
      <c r="V37" s="263"/>
      <c r="W37" s="870">
        <f>MAX(W$1:$W36)+1</f>
        <v>10</v>
      </c>
      <c r="X37" s="264">
        <f>SUMPRODUCT(('Gear &amp; Buffs'!$B$10:$B$71=A37)*('Gear &amp; Buffs'!$C$10:$C$71=TRUE))</f>
        <v>0</v>
      </c>
      <c r="Y37" s="266" t="b">
        <f t="shared" si="1"/>
        <v>0</v>
      </c>
      <c r="Z37" s="6" t="b">
        <v>0</v>
      </c>
      <c r="AA37" s="738">
        <v>34</v>
      </c>
      <c r="AB37" s="714" t="str">
        <f t="shared" si="2"/>
        <v/>
      </c>
    </row>
    <row r="38" spans="1:28">
      <c r="A38" s="262" t="s">
        <v>1495</v>
      </c>
      <c r="B38" s="263">
        <v>34256</v>
      </c>
      <c r="C38" s="263">
        <v>4</v>
      </c>
      <c r="D38" s="263"/>
      <c r="E38" s="263"/>
      <c r="F38" s="263"/>
      <c r="G38" s="263"/>
      <c r="H38" s="263"/>
      <c r="I38" s="263"/>
      <c r="J38" s="264"/>
      <c r="K38" s="263"/>
      <c r="L38" s="263">
        <v>15</v>
      </c>
      <c r="M38" s="263"/>
      <c r="N38" s="263"/>
      <c r="O38" s="263"/>
      <c r="P38" s="263"/>
      <c r="Q38" s="263" t="s">
        <v>1039</v>
      </c>
      <c r="R38" s="265">
        <f t="shared" si="0"/>
        <v>0</v>
      </c>
      <c r="S38" s="263" t="s">
        <v>675</v>
      </c>
      <c r="T38" s="263" t="s">
        <v>728</v>
      </c>
      <c r="U38" s="261" t="s">
        <v>798</v>
      </c>
      <c r="V38" s="263"/>
      <c r="W38" s="870"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4">
        <f>SUMPRODUCT(('Gear &amp; Buffs'!$B$10:$B$71=A38)*('Gear &amp; Buffs'!$C$10:$C$71=TRUE))</f>
        <v>0</v>
      </c>
      <c r="Y38" s="266" t="b">
        <f t="shared" si="1"/>
        <v>0</v>
      </c>
      <c r="Z38" s="6" t="b">
        <v>1</v>
      </c>
      <c r="AA38" s="738">
        <v>35</v>
      </c>
      <c r="AB38" s="714" t="str">
        <f t="shared" si="2"/>
        <v/>
      </c>
    </row>
    <row r="39" spans="1:28">
      <c r="A39" s="262" t="s">
        <v>84</v>
      </c>
      <c r="B39" s="263">
        <v>34831</v>
      </c>
      <c r="C39" s="263">
        <v>5</v>
      </c>
      <c r="D39" s="263"/>
      <c r="E39" s="263"/>
      <c r="F39" s="263"/>
      <c r="G39" s="263"/>
      <c r="H39" s="263"/>
      <c r="I39" s="263"/>
      <c r="J39" s="264"/>
      <c r="K39" s="263"/>
      <c r="L39" s="263">
        <v>15</v>
      </c>
      <c r="M39" s="263"/>
      <c r="N39" s="263"/>
      <c r="O39" s="263"/>
      <c r="P39" s="263"/>
      <c r="Q39" s="263" t="s">
        <v>1039</v>
      </c>
      <c r="R39" s="265">
        <f t="shared" si="0"/>
        <v>0</v>
      </c>
      <c r="S39" s="263" t="s">
        <v>675</v>
      </c>
      <c r="T39" s="263" t="s">
        <v>728</v>
      </c>
      <c r="U39" s="323" t="s">
        <v>799</v>
      </c>
      <c r="V39" s="263"/>
      <c r="W39" s="870"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4">
        <f>SUMPRODUCT(('Gear &amp; Buffs'!$B$10:$B$71=A39)*('Gear &amp; Buffs'!$C$10:$C$71=TRUE))</f>
        <v>0</v>
      </c>
      <c r="Y39" s="266" t="b">
        <f t="shared" si="1"/>
        <v>0</v>
      </c>
      <c r="Z39" s="6" t="b">
        <v>1</v>
      </c>
      <c r="AA39" s="738">
        <v>36</v>
      </c>
      <c r="AB39" s="714" t="str">
        <f t="shared" si="2"/>
        <v/>
      </c>
    </row>
    <row r="40" spans="1:28">
      <c r="A40" s="262" t="s">
        <v>2799</v>
      </c>
      <c r="B40" s="263">
        <v>33135</v>
      </c>
      <c r="C40" s="263">
        <v>3</v>
      </c>
      <c r="D40" s="263"/>
      <c r="E40" s="263"/>
      <c r="F40" s="263"/>
      <c r="G40" s="263"/>
      <c r="H40" s="263"/>
      <c r="I40" s="263"/>
      <c r="J40" s="264"/>
      <c r="K40" s="263"/>
      <c r="L40" s="263">
        <v>18</v>
      </c>
      <c r="M40" s="263"/>
      <c r="N40" s="263"/>
      <c r="O40" s="263"/>
      <c r="P40" s="263"/>
      <c r="Q40" s="263" t="s">
        <v>1039</v>
      </c>
      <c r="R40" s="265">
        <f t="shared" si="0"/>
        <v>0</v>
      </c>
      <c r="S40" s="263" t="s">
        <v>1556</v>
      </c>
      <c r="T40" s="263" t="s">
        <v>728</v>
      </c>
      <c r="U40" s="261" t="s">
        <v>798</v>
      </c>
      <c r="V40" s="263"/>
      <c r="W40" s="870"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4">
        <f>SUMPRODUCT(('Gear &amp; Buffs'!$B$10:$B$71=A40)*('Gear &amp; Buffs'!$C$10:$C$71=TRUE))</f>
        <v>0</v>
      </c>
      <c r="Y40" s="266" t="b">
        <f t="shared" si="1"/>
        <v>0</v>
      </c>
      <c r="Z40" s="6" t="b">
        <v>1</v>
      </c>
      <c r="AA40" s="738">
        <v>37</v>
      </c>
      <c r="AB40" s="714" t="str">
        <f t="shared" si="2"/>
        <v/>
      </c>
    </row>
    <row r="41" spans="1:28">
      <c r="A41" s="262" t="s">
        <v>457</v>
      </c>
      <c r="B41" s="263">
        <v>23118</v>
      </c>
      <c r="C41" s="263">
        <v>1</v>
      </c>
      <c r="D41" s="263"/>
      <c r="E41" s="263"/>
      <c r="F41" s="263"/>
      <c r="G41" s="263"/>
      <c r="H41" s="263"/>
      <c r="I41" s="263"/>
      <c r="J41" s="264"/>
      <c r="K41" s="263"/>
      <c r="L41" s="263">
        <v>9</v>
      </c>
      <c r="M41" s="263"/>
      <c r="N41" s="263"/>
      <c r="O41" s="263"/>
      <c r="P41" s="263"/>
      <c r="Q41" s="263" t="s">
        <v>1039</v>
      </c>
      <c r="R41" s="265">
        <f t="shared" si="0"/>
        <v>0</v>
      </c>
      <c r="S41" s="263" t="s">
        <v>674</v>
      </c>
      <c r="T41" s="263"/>
      <c r="U41" s="324" t="s">
        <v>800</v>
      </c>
      <c r="V41" s="263"/>
      <c r="W41" s="870"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4">
        <f>SUMPRODUCT(('Gear &amp; Buffs'!$B$10:$B$71=A41)*('Gear &amp; Buffs'!$C$10:$C$71=TRUE))</f>
        <v>0</v>
      </c>
      <c r="Y41" s="266" t="b">
        <f t="shared" si="1"/>
        <v>0</v>
      </c>
      <c r="Z41" s="6" t="b">
        <v>1</v>
      </c>
      <c r="AA41" s="738">
        <v>38</v>
      </c>
      <c r="AB41" s="714" t="str">
        <f t="shared" si="2"/>
        <v/>
      </c>
    </row>
    <row r="42" spans="1:28">
      <c r="A42" s="262" t="s">
        <v>1709</v>
      </c>
      <c r="B42" s="263">
        <v>32200</v>
      </c>
      <c r="C42" s="263">
        <v>3</v>
      </c>
      <c r="D42" s="263"/>
      <c r="E42" s="263"/>
      <c r="F42" s="263"/>
      <c r="G42" s="263"/>
      <c r="H42" s="263"/>
      <c r="I42" s="263"/>
      <c r="J42" s="264"/>
      <c r="K42" s="263"/>
      <c r="L42" s="263">
        <v>15</v>
      </c>
      <c r="M42" s="263"/>
      <c r="N42" s="263"/>
      <c r="O42" s="263"/>
      <c r="P42" s="263"/>
      <c r="Q42" s="263" t="s">
        <v>1039</v>
      </c>
      <c r="R42" s="265">
        <f t="shared" si="0"/>
        <v>0</v>
      </c>
      <c r="S42" s="263" t="s">
        <v>674</v>
      </c>
      <c r="T42" s="263"/>
      <c r="U42" s="261" t="s">
        <v>798</v>
      </c>
      <c r="V42" s="263"/>
      <c r="W42" s="870"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4">
        <f>SUMPRODUCT(('Gear &amp; Buffs'!$B$10:$B$71=A42)*('Gear &amp; Buffs'!$C$10:$C$71=TRUE))</f>
        <v>0</v>
      </c>
      <c r="Y42" s="266" t="b">
        <f t="shared" si="1"/>
        <v>0</v>
      </c>
      <c r="Z42" s="6" t="b">
        <v>1</v>
      </c>
      <c r="AA42" s="738">
        <v>39</v>
      </c>
      <c r="AB42" s="714" t="str">
        <f t="shared" si="2"/>
        <v/>
      </c>
    </row>
    <row r="43" spans="1:28">
      <c r="A43" s="262" t="s">
        <v>1710</v>
      </c>
      <c r="B43" s="263">
        <v>24033</v>
      </c>
      <c r="C43" s="263">
        <v>1</v>
      </c>
      <c r="D43" s="263"/>
      <c r="E43" s="263"/>
      <c r="F43" s="263"/>
      <c r="G43" s="263"/>
      <c r="H43" s="263"/>
      <c r="I43" s="263"/>
      <c r="J43" s="264"/>
      <c r="K43" s="263"/>
      <c r="L43" s="263">
        <v>12</v>
      </c>
      <c r="M43" s="263"/>
      <c r="N43" s="263"/>
      <c r="O43" s="263"/>
      <c r="P43" s="263"/>
      <c r="Q43" s="263" t="s">
        <v>1039</v>
      </c>
      <c r="R43" s="265">
        <f t="shared" si="0"/>
        <v>0</v>
      </c>
      <c r="S43" s="263" t="s">
        <v>674</v>
      </c>
      <c r="T43" s="263"/>
      <c r="U43" s="323" t="s">
        <v>799</v>
      </c>
      <c r="V43" s="263"/>
      <c r="W43" s="870"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4">
        <f>SUMPRODUCT(('Gear &amp; Buffs'!$B$10:$B$71=A43)*('Gear &amp; Buffs'!$C$10:$C$71=TRUE))</f>
        <v>0</v>
      </c>
      <c r="Y43" s="266" t="b">
        <f t="shared" si="1"/>
        <v>0</v>
      </c>
      <c r="Z43" s="6" t="b">
        <v>1</v>
      </c>
      <c r="AA43" s="738">
        <v>40</v>
      </c>
      <c r="AB43" s="714" t="str">
        <f t="shared" si="2"/>
        <v/>
      </c>
    </row>
    <row r="44" spans="1:28">
      <c r="A44" s="262" t="s">
        <v>2838</v>
      </c>
      <c r="B44" s="263">
        <v>32203</v>
      </c>
      <c r="C44" s="263">
        <v>3</v>
      </c>
      <c r="D44" s="263"/>
      <c r="E44" s="263"/>
      <c r="F44" s="263"/>
      <c r="G44" s="263"/>
      <c r="H44" s="263"/>
      <c r="I44" s="263"/>
      <c r="J44" s="264"/>
      <c r="K44" s="263"/>
      <c r="L44" s="263"/>
      <c r="M44" s="263"/>
      <c r="N44" s="263"/>
      <c r="O44" s="263"/>
      <c r="P44" s="263"/>
      <c r="Q44" s="263" t="s">
        <v>1039</v>
      </c>
      <c r="R44" s="265">
        <f t="shared" si="0"/>
        <v>0</v>
      </c>
      <c r="S44" s="263" t="s">
        <v>674</v>
      </c>
      <c r="T44" s="263"/>
      <c r="U44" s="261" t="s">
        <v>798</v>
      </c>
      <c r="V44" s="263"/>
      <c r="W44" s="870"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4">
        <f>SUMPRODUCT(('Gear &amp; Buffs'!$B$10:$B$71=A44)*('Gear &amp; Buffs'!$C$10:$C$71=TRUE))</f>
        <v>0</v>
      </c>
      <c r="Y44" s="266" t="b">
        <f t="shared" ref="Y44:Y45" si="3">IF(AND(T44="unique",X44&gt;0),TRUE,FALSE)</f>
        <v>0</v>
      </c>
      <c r="Z44" s="6" t="b">
        <v>1</v>
      </c>
      <c r="AA44" s="738">
        <v>41</v>
      </c>
      <c r="AB44" s="714" t="str">
        <f t="shared" ref="AB44:AB45" si="4">IF(ISNA(INDEX($A$4:$A$105,MATCH(AA44,W$4:W$105,0))), "", INDEX($A$4:$A$105,MATCH(AA44,W$4:W$105,0)))</f>
        <v/>
      </c>
    </row>
    <row r="45" spans="1:28">
      <c r="A45" s="262" t="s">
        <v>2839</v>
      </c>
      <c r="B45" s="263">
        <v>24039</v>
      </c>
      <c r="C45" s="263">
        <v>1</v>
      </c>
      <c r="D45" s="263"/>
      <c r="E45" s="263"/>
      <c r="F45" s="263"/>
      <c r="G45" s="263"/>
      <c r="H45" s="263"/>
      <c r="I45" s="263"/>
      <c r="J45" s="264"/>
      <c r="K45" s="263"/>
      <c r="L45" s="263"/>
      <c r="M45" s="263"/>
      <c r="N45" s="263"/>
      <c r="O45" s="263"/>
      <c r="P45" s="263"/>
      <c r="Q45" s="263" t="s">
        <v>1039</v>
      </c>
      <c r="R45" s="265">
        <f t="shared" si="0"/>
        <v>0</v>
      </c>
      <c r="S45" s="263" t="s">
        <v>674</v>
      </c>
      <c r="T45" s="263"/>
      <c r="U45" s="323" t="s">
        <v>799</v>
      </c>
      <c r="V45" s="263"/>
      <c r="W45" s="870"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4">
        <f>SUMPRODUCT(('Gear &amp; Buffs'!$B$10:$B$71=A45)*('Gear &amp; Buffs'!$C$10:$C$71=TRUE))</f>
        <v>0</v>
      </c>
      <c r="Y45" s="266" t="b">
        <f t="shared" si="3"/>
        <v>0</v>
      </c>
      <c r="Z45" s="6" t="b">
        <v>1</v>
      </c>
      <c r="AA45" s="738">
        <v>42</v>
      </c>
      <c r="AB45" s="714" t="str">
        <f t="shared" si="4"/>
        <v/>
      </c>
    </row>
    <row r="46" spans="1:28">
      <c r="A46" s="10" t="str">
        <f>" "</f>
        <v xml:space="preserve"> </v>
      </c>
      <c r="B46" s="114"/>
      <c r="C46" s="114">
        <v>1</v>
      </c>
      <c r="D46" s="114"/>
      <c r="E46" s="114"/>
      <c r="F46" s="114"/>
      <c r="G46" s="114"/>
      <c r="H46" s="114"/>
      <c r="I46" s="114"/>
      <c r="K46" s="114"/>
      <c r="L46" s="114"/>
      <c r="M46" s="114"/>
      <c r="N46" s="114"/>
      <c r="O46" s="114"/>
      <c r="P46" s="114"/>
      <c r="Q46" s="114" t="s">
        <v>1033</v>
      </c>
      <c r="R46" s="251">
        <f t="shared" si="0"/>
        <v>0</v>
      </c>
      <c r="S46" s="120" t="s">
        <v>1689</v>
      </c>
      <c r="U46" s="6" t="s">
        <v>1689</v>
      </c>
      <c r="W46" s="870">
        <f>MAX(W$1:$W45)+1</f>
        <v>11</v>
      </c>
      <c r="X46" s="120">
        <f>SUMPRODUCT(('Gear &amp; Buffs'!$B$10:$B$71=A46)*('Gear &amp; Buffs'!$C$10:$C$71=TRUE))</f>
        <v>0</v>
      </c>
      <c r="Y46" s="6" t="b">
        <f t="shared" si="1"/>
        <v>0</v>
      </c>
      <c r="Z46" s="6" t="b">
        <v>0</v>
      </c>
      <c r="AA46" s="738">
        <v>43</v>
      </c>
      <c r="AB46" s="714" t="str">
        <f t="shared" si="2"/>
        <v/>
      </c>
    </row>
    <row r="47" spans="1:28">
      <c r="A47" s="267" t="s">
        <v>1040</v>
      </c>
      <c r="B47" s="268"/>
      <c r="C47" s="268">
        <v>1</v>
      </c>
      <c r="D47" s="268"/>
      <c r="E47" s="268"/>
      <c r="F47" s="268"/>
      <c r="G47" s="268"/>
      <c r="H47" s="268"/>
      <c r="I47" s="268"/>
      <c r="J47" s="269"/>
      <c r="K47" s="268"/>
      <c r="L47" s="268"/>
      <c r="M47" s="268"/>
      <c r="N47" s="268"/>
      <c r="O47" s="268"/>
      <c r="P47" s="268"/>
      <c r="Q47" s="268" t="s">
        <v>1041</v>
      </c>
      <c r="R47" s="270">
        <f t="shared" si="0"/>
        <v>0</v>
      </c>
      <c r="S47" s="268" t="s">
        <v>1689</v>
      </c>
      <c r="T47" s="268"/>
      <c r="U47" s="358" t="s">
        <v>1689</v>
      </c>
      <c r="V47" s="268"/>
      <c r="W47" s="870">
        <f>MAX(W$1:$W46)+1</f>
        <v>12</v>
      </c>
      <c r="X47" s="269">
        <f>SUMPRODUCT(('Gear &amp; Buffs'!$B$10:$B$71=A47)*('Gear &amp; Buffs'!$C$10:$C$71=TRUE))</f>
        <v>0</v>
      </c>
      <c r="Y47" s="271" t="b">
        <f t="shared" si="1"/>
        <v>0</v>
      </c>
      <c r="Z47" s="6" t="b">
        <v>0</v>
      </c>
      <c r="AA47" s="738">
        <v>44</v>
      </c>
      <c r="AB47" s="714" t="str">
        <f t="shared" si="2"/>
        <v/>
      </c>
    </row>
    <row r="48" spans="1:28">
      <c r="A48" s="267" t="s">
        <v>605</v>
      </c>
      <c r="B48" s="268">
        <v>27786</v>
      </c>
      <c r="C48" s="268">
        <v>1</v>
      </c>
      <c r="D48" s="268"/>
      <c r="E48" s="268"/>
      <c r="F48" s="268"/>
      <c r="G48" s="268">
        <v>4</v>
      </c>
      <c r="H48" s="268"/>
      <c r="I48" s="268"/>
      <c r="J48" s="269"/>
      <c r="K48" s="268"/>
      <c r="L48" s="268">
        <v>3</v>
      </c>
      <c r="M48" s="268"/>
      <c r="N48" s="268"/>
      <c r="O48" s="268"/>
      <c r="P48" s="268"/>
      <c r="Q48" s="268" t="s">
        <v>1041</v>
      </c>
      <c r="R48" s="270">
        <f t="shared" si="0"/>
        <v>2.7431852220379369</v>
      </c>
      <c r="S48" s="268" t="s">
        <v>677</v>
      </c>
      <c r="T48" s="268" t="s">
        <v>728</v>
      </c>
      <c r="U48" s="323" t="s">
        <v>799</v>
      </c>
      <c r="V48" s="268"/>
      <c r="W48" s="870">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13</v>
      </c>
      <c r="X48" s="269">
        <f>SUMPRODUCT(('Gear &amp; Buffs'!$B$10:$B$71=A48)*('Gear &amp; Buffs'!$C$10:$C$71=TRUE))</f>
        <v>0</v>
      </c>
      <c r="Y48" s="271" t="b">
        <f t="shared" si="1"/>
        <v>0</v>
      </c>
      <c r="Z48" s="6" t="b">
        <v>0</v>
      </c>
      <c r="AA48" s="738">
        <v>45</v>
      </c>
      <c r="AB48" s="714" t="str">
        <f t="shared" si="2"/>
        <v/>
      </c>
    </row>
    <row r="49" spans="1:28">
      <c r="A49" s="267" t="s">
        <v>1493</v>
      </c>
      <c r="B49" s="268">
        <v>27809</v>
      </c>
      <c r="C49" s="268">
        <v>1</v>
      </c>
      <c r="D49" s="268"/>
      <c r="E49" s="268"/>
      <c r="F49" s="268"/>
      <c r="G49" s="268">
        <v>4</v>
      </c>
      <c r="H49" s="268"/>
      <c r="I49" s="268"/>
      <c r="J49" s="269"/>
      <c r="K49" s="268"/>
      <c r="L49" s="268">
        <v>3</v>
      </c>
      <c r="M49" s="268"/>
      <c r="N49" s="268"/>
      <c r="O49" s="268"/>
      <c r="P49" s="268"/>
      <c r="Q49" s="268" t="s">
        <v>1041</v>
      </c>
      <c r="R49" s="270">
        <f t="shared" si="0"/>
        <v>2.7431852220379369</v>
      </c>
      <c r="S49" s="268" t="s">
        <v>677</v>
      </c>
      <c r="T49" s="268" t="s">
        <v>728</v>
      </c>
      <c r="U49" s="323" t="s">
        <v>799</v>
      </c>
      <c r="V49" s="268"/>
      <c r="W49" s="870">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14</v>
      </c>
      <c r="X49" s="269">
        <f>SUMPRODUCT(('Gear &amp; Buffs'!$B$10:$B$71=A49)*('Gear &amp; Buffs'!$C$10:$C$71=TRUE))</f>
        <v>0</v>
      </c>
      <c r="Y49" s="271" t="b">
        <f t="shared" si="1"/>
        <v>0</v>
      </c>
      <c r="Z49" s="6" t="b">
        <v>0</v>
      </c>
      <c r="AA49" s="738">
        <v>46</v>
      </c>
      <c r="AB49" s="714" t="str">
        <f t="shared" si="2"/>
        <v/>
      </c>
    </row>
    <row r="50" spans="1:28">
      <c r="A50" s="267" t="s">
        <v>89</v>
      </c>
      <c r="B50" s="268">
        <v>30590</v>
      </c>
      <c r="C50" s="268">
        <v>1</v>
      </c>
      <c r="D50" s="268"/>
      <c r="E50" s="268"/>
      <c r="F50" s="268"/>
      <c r="G50" s="268"/>
      <c r="H50" s="268"/>
      <c r="I50" s="268"/>
      <c r="J50" s="269"/>
      <c r="K50" s="268"/>
      <c r="L50" s="268">
        <v>6</v>
      </c>
      <c r="M50" s="268"/>
      <c r="N50" s="268"/>
      <c r="O50" s="268">
        <v>5</v>
      </c>
      <c r="P50" s="268"/>
      <c r="Q50" s="268" t="s">
        <v>1041</v>
      </c>
      <c r="R50" s="270">
        <f t="shared" si="0"/>
        <v>0</v>
      </c>
      <c r="S50" s="268" t="s">
        <v>691</v>
      </c>
      <c r="T50" s="268"/>
      <c r="U50" s="261" t="s">
        <v>798</v>
      </c>
      <c r="V50" s="268"/>
      <c r="W50" s="870"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9">
        <f>SUMPRODUCT(('Gear &amp; Buffs'!$B$10:$B$71=A50)*('Gear &amp; Buffs'!$C$10:$C$71=TRUE))</f>
        <v>0</v>
      </c>
      <c r="Y50" s="271" t="b">
        <f t="shared" si="1"/>
        <v>0</v>
      </c>
      <c r="Z50" s="6" t="b">
        <v>1</v>
      </c>
      <c r="AA50" s="738">
        <v>47</v>
      </c>
      <c r="AB50" s="714" t="str">
        <f t="shared" si="2"/>
        <v/>
      </c>
    </row>
    <row r="51" spans="1:28">
      <c r="A51" s="267" t="s">
        <v>1864</v>
      </c>
      <c r="B51" s="268">
        <v>23105</v>
      </c>
      <c r="C51" s="268">
        <v>1</v>
      </c>
      <c r="D51" s="268"/>
      <c r="E51" s="268"/>
      <c r="F51" s="268"/>
      <c r="G51" s="268"/>
      <c r="H51" s="268"/>
      <c r="I51" s="268"/>
      <c r="J51" s="269"/>
      <c r="K51" s="268"/>
      <c r="L51" s="268">
        <v>4</v>
      </c>
      <c r="M51" s="268"/>
      <c r="N51" s="268"/>
      <c r="O51" s="268">
        <v>3</v>
      </c>
      <c r="P51" s="268"/>
      <c r="Q51" s="268" t="s">
        <v>1041</v>
      </c>
      <c r="R51" s="270">
        <f t="shared" si="0"/>
        <v>0</v>
      </c>
      <c r="S51" s="268" t="s">
        <v>674</v>
      </c>
      <c r="T51" s="268"/>
      <c r="U51" s="324" t="s">
        <v>800</v>
      </c>
      <c r="V51" s="268"/>
      <c r="W51" s="870"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9">
        <f>SUMPRODUCT(('Gear &amp; Buffs'!$B$10:$B$71=A51)*('Gear &amp; Buffs'!$C$10:$C$71=TRUE))</f>
        <v>0</v>
      </c>
      <c r="Y51" s="271" t="b">
        <f t="shared" si="1"/>
        <v>0</v>
      </c>
      <c r="Z51" s="6" t="b">
        <v>1</v>
      </c>
      <c r="AA51" s="738">
        <v>48</v>
      </c>
      <c r="AB51" s="714" t="str">
        <f t="shared" si="2"/>
        <v/>
      </c>
    </row>
    <row r="52" spans="1:28">
      <c r="A52" s="267" t="s">
        <v>1858</v>
      </c>
      <c r="B52" s="268">
        <v>32223</v>
      </c>
      <c r="C52" s="268">
        <v>3</v>
      </c>
      <c r="D52" s="268"/>
      <c r="E52" s="268"/>
      <c r="F52" s="268"/>
      <c r="G52" s="268"/>
      <c r="H52" s="268"/>
      <c r="I52" s="268"/>
      <c r="J52" s="269"/>
      <c r="K52" s="268"/>
      <c r="L52" s="268">
        <v>7</v>
      </c>
      <c r="M52" s="268"/>
      <c r="N52" s="268"/>
      <c r="O52" s="268">
        <v>5</v>
      </c>
      <c r="P52" s="268"/>
      <c r="Q52" s="268" t="s">
        <v>1041</v>
      </c>
      <c r="R52" s="270">
        <f t="shared" si="0"/>
        <v>0</v>
      </c>
      <c r="S52" s="268" t="s">
        <v>674</v>
      </c>
      <c r="T52" s="268"/>
      <c r="U52" s="261" t="s">
        <v>798</v>
      </c>
      <c r="V52" s="268"/>
      <c r="W52" s="870"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9">
        <f>SUMPRODUCT(('Gear &amp; Buffs'!$B$10:$B$71=A52)*('Gear &amp; Buffs'!$C$10:$C$71=TRUE))</f>
        <v>0</v>
      </c>
      <c r="Y52" s="271" t="b">
        <f t="shared" si="1"/>
        <v>0</v>
      </c>
      <c r="Z52" s="6" t="b">
        <v>1</v>
      </c>
      <c r="AA52" s="738">
        <v>49</v>
      </c>
      <c r="AB52" s="714" t="str">
        <f t="shared" si="2"/>
        <v/>
      </c>
    </row>
    <row r="53" spans="1:28">
      <c r="A53" s="267" t="s">
        <v>1863</v>
      </c>
      <c r="B53" s="268">
        <v>24062</v>
      </c>
      <c r="C53" s="268">
        <v>1</v>
      </c>
      <c r="D53" s="268"/>
      <c r="E53" s="268"/>
      <c r="F53" s="268"/>
      <c r="G53" s="268"/>
      <c r="H53" s="268"/>
      <c r="I53" s="268"/>
      <c r="J53" s="269"/>
      <c r="K53" s="268"/>
      <c r="L53" s="268">
        <v>6</v>
      </c>
      <c r="M53" s="268"/>
      <c r="N53" s="268"/>
      <c r="O53" s="268">
        <v>4</v>
      </c>
      <c r="P53" s="268"/>
      <c r="Q53" s="268" t="s">
        <v>1041</v>
      </c>
      <c r="R53" s="270">
        <f t="shared" si="0"/>
        <v>0</v>
      </c>
      <c r="S53" s="268" t="s">
        <v>674</v>
      </c>
      <c r="T53" s="268"/>
      <c r="U53" s="323" t="s">
        <v>799</v>
      </c>
      <c r="V53" s="268"/>
      <c r="W53" s="870"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9">
        <f>SUMPRODUCT(('Gear &amp; Buffs'!$B$10:$B$71=A53)*('Gear &amp; Buffs'!$C$10:$C$71=TRUE))</f>
        <v>0</v>
      </c>
      <c r="Y53" s="271" t="b">
        <f t="shared" si="1"/>
        <v>0</v>
      </c>
      <c r="Z53" s="6" t="b">
        <v>1</v>
      </c>
      <c r="AA53" s="738">
        <v>50</v>
      </c>
      <c r="AB53" s="714" t="str">
        <f t="shared" si="2"/>
        <v/>
      </c>
    </row>
    <row r="54" spans="1:28">
      <c r="A54" s="267" t="s">
        <v>1711</v>
      </c>
      <c r="B54" s="268">
        <v>30602</v>
      </c>
      <c r="C54" s="268">
        <v>1</v>
      </c>
      <c r="D54" s="268"/>
      <c r="E54" s="268"/>
      <c r="F54" s="268"/>
      <c r="G54" s="268">
        <v>5</v>
      </c>
      <c r="H54" s="268"/>
      <c r="I54" s="268"/>
      <c r="J54" s="269"/>
      <c r="K54" s="268"/>
      <c r="L54" s="268">
        <v>6</v>
      </c>
      <c r="M54" s="268"/>
      <c r="N54" s="268"/>
      <c r="O54" s="268"/>
      <c r="P54" s="268"/>
      <c r="Q54" s="268" t="s">
        <v>1041</v>
      </c>
      <c r="R54" s="270">
        <f t="shared" si="0"/>
        <v>3.4289815275474211</v>
      </c>
      <c r="S54" s="268" t="s">
        <v>691</v>
      </c>
      <c r="T54" s="268"/>
      <c r="U54" s="261" t="s">
        <v>798</v>
      </c>
      <c r="V54" s="268"/>
      <c r="W54" s="870"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9">
        <f>SUMPRODUCT(('Gear &amp; Buffs'!$B$10:$B$71=A54)*('Gear &amp; Buffs'!$C$10:$C$71=TRUE))</f>
        <v>0</v>
      </c>
      <c r="Y54" s="271" t="b">
        <f t="shared" si="1"/>
        <v>0</v>
      </c>
      <c r="Z54" s="6" t="b">
        <v>0</v>
      </c>
      <c r="AA54" s="738">
        <v>51</v>
      </c>
      <c r="AB54" s="714" t="str">
        <f t="shared" si="2"/>
        <v/>
      </c>
    </row>
    <row r="55" spans="1:28">
      <c r="A55" s="267" t="s">
        <v>1712</v>
      </c>
      <c r="B55" s="268">
        <v>23104</v>
      </c>
      <c r="C55" s="268">
        <v>1</v>
      </c>
      <c r="D55" s="268"/>
      <c r="E55" s="268"/>
      <c r="F55" s="268"/>
      <c r="G55" s="268">
        <v>3</v>
      </c>
      <c r="H55" s="268"/>
      <c r="I55" s="268"/>
      <c r="J55" s="269"/>
      <c r="K55" s="268"/>
      <c r="L55" s="268">
        <v>4</v>
      </c>
      <c r="M55" s="268"/>
      <c r="N55" s="268"/>
      <c r="O55" s="268"/>
      <c r="P55" s="268"/>
      <c r="Q55" s="268" t="s">
        <v>1041</v>
      </c>
      <c r="R55" s="270">
        <f t="shared" si="0"/>
        <v>2.0573889165284527</v>
      </c>
      <c r="S55" s="268" t="s">
        <v>674</v>
      </c>
      <c r="T55" s="268"/>
      <c r="U55" s="324" t="s">
        <v>800</v>
      </c>
      <c r="V55" s="268"/>
      <c r="W55" s="870"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9">
        <f>SUMPRODUCT(('Gear &amp; Buffs'!$B$10:$B$71=A55)*('Gear &amp; Buffs'!$C$10:$C$71=TRUE))</f>
        <v>0</v>
      </c>
      <c r="Y55" s="271" t="b">
        <f t="shared" si="1"/>
        <v>0</v>
      </c>
      <c r="Z55" s="6" t="b">
        <v>0</v>
      </c>
      <c r="AA55" s="738">
        <v>52</v>
      </c>
      <c r="AB55" s="714" t="str">
        <f t="shared" si="2"/>
        <v/>
      </c>
    </row>
    <row r="56" spans="1:28">
      <c r="A56" s="267" t="s">
        <v>1713</v>
      </c>
      <c r="B56" s="268">
        <v>32226</v>
      </c>
      <c r="C56" s="268">
        <v>3</v>
      </c>
      <c r="D56" s="268"/>
      <c r="E56" s="268"/>
      <c r="F56" s="268"/>
      <c r="G56" s="268">
        <v>5</v>
      </c>
      <c r="H56" s="268"/>
      <c r="I56" s="268"/>
      <c r="J56" s="269"/>
      <c r="K56" s="268"/>
      <c r="L56" s="268">
        <v>7</v>
      </c>
      <c r="M56" s="268"/>
      <c r="N56" s="268"/>
      <c r="O56" s="268"/>
      <c r="P56" s="268"/>
      <c r="Q56" s="268" t="s">
        <v>1041</v>
      </c>
      <c r="R56" s="270">
        <f t="shared" si="0"/>
        <v>3.4289815275474211</v>
      </c>
      <c r="S56" s="268" t="s">
        <v>674</v>
      </c>
      <c r="T56" s="268"/>
      <c r="U56" s="261" t="s">
        <v>798</v>
      </c>
      <c r="V56" s="268"/>
      <c r="W56" s="870"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9">
        <f>SUMPRODUCT(('Gear &amp; Buffs'!$B$10:$B$71=A56)*('Gear &amp; Buffs'!$C$10:$C$71=TRUE))</f>
        <v>0</v>
      </c>
      <c r="Y56" s="271" t="b">
        <f t="shared" si="1"/>
        <v>0</v>
      </c>
      <c r="Z56" s="6" t="b">
        <v>0</v>
      </c>
      <c r="AA56" s="738">
        <v>53</v>
      </c>
      <c r="AB56" s="714" t="str">
        <f t="shared" si="2"/>
        <v/>
      </c>
    </row>
    <row r="57" spans="1:28">
      <c r="A57" s="267" t="s">
        <v>1714</v>
      </c>
      <c r="B57" s="268">
        <v>24067</v>
      </c>
      <c r="C57" s="268">
        <v>1</v>
      </c>
      <c r="D57" s="268"/>
      <c r="E57" s="268"/>
      <c r="F57" s="268"/>
      <c r="G57" s="268">
        <v>4</v>
      </c>
      <c r="H57" s="268"/>
      <c r="I57" s="268"/>
      <c r="J57" s="269"/>
      <c r="K57" s="268"/>
      <c r="L57" s="268">
        <v>6</v>
      </c>
      <c r="M57" s="268"/>
      <c r="N57" s="268"/>
      <c r="O57" s="268"/>
      <c r="P57" s="268"/>
      <c r="Q57" s="268" t="s">
        <v>1041</v>
      </c>
      <c r="R57" s="270">
        <f t="shared" si="0"/>
        <v>2.7431852220379369</v>
      </c>
      <c r="S57" s="268" t="s">
        <v>674</v>
      </c>
      <c r="T57" s="268"/>
      <c r="U57" s="323" t="s">
        <v>799</v>
      </c>
      <c r="V57" s="268"/>
      <c r="W57" s="870">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15</v>
      </c>
      <c r="X57" s="269">
        <f>SUMPRODUCT(('Gear &amp; Buffs'!$B$10:$B$71=A57)*('Gear &amp; Buffs'!$C$10:$C$71=TRUE))</f>
        <v>0</v>
      </c>
      <c r="Y57" s="271" t="b">
        <f t="shared" si="1"/>
        <v>0</v>
      </c>
      <c r="Z57" s="6" t="b">
        <v>0</v>
      </c>
      <c r="AA57" s="738">
        <v>54</v>
      </c>
      <c r="AB57" s="714" t="str">
        <f t="shared" si="2"/>
        <v/>
      </c>
    </row>
    <row r="58" spans="1:28">
      <c r="A58" s="267" t="s">
        <v>1715</v>
      </c>
      <c r="B58" s="268">
        <v>30592</v>
      </c>
      <c r="C58" s="268">
        <v>1</v>
      </c>
      <c r="D58" s="268"/>
      <c r="E58" s="268"/>
      <c r="F58" s="268"/>
      <c r="G58" s="268"/>
      <c r="H58" s="268"/>
      <c r="I58" s="268"/>
      <c r="J58" s="269"/>
      <c r="K58" s="268"/>
      <c r="L58" s="268">
        <v>6</v>
      </c>
      <c r="M58" s="268"/>
      <c r="N58" s="268">
        <v>5</v>
      </c>
      <c r="O58" s="268"/>
      <c r="P58" s="268"/>
      <c r="Q58" s="268" t="s">
        <v>1041</v>
      </c>
      <c r="R58" s="270">
        <f t="shared" si="0"/>
        <v>0</v>
      </c>
      <c r="S58" s="268" t="s">
        <v>691</v>
      </c>
      <c r="T58" s="268"/>
      <c r="U58" s="261" t="s">
        <v>798</v>
      </c>
      <c r="V58" s="268"/>
      <c r="W58" s="870"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9">
        <f>SUMPRODUCT(('Gear &amp; Buffs'!$B$10:$B$71=A58)*('Gear &amp; Buffs'!$C$10:$C$71=TRUE))</f>
        <v>0</v>
      </c>
      <c r="Y58" s="271" t="b">
        <f t="shared" si="1"/>
        <v>0</v>
      </c>
      <c r="Z58" s="6" t="b">
        <v>1</v>
      </c>
      <c r="AA58" s="738">
        <v>55</v>
      </c>
      <c r="AB58" s="714" t="str">
        <f t="shared" si="2"/>
        <v/>
      </c>
    </row>
    <row r="59" spans="1:28">
      <c r="A59" s="267" t="s">
        <v>1859</v>
      </c>
      <c r="B59" s="268">
        <v>35758</v>
      </c>
      <c r="C59" s="268">
        <v>3</v>
      </c>
      <c r="D59" s="268"/>
      <c r="E59" s="268"/>
      <c r="F59" s="268"/>
      <c r="G59" s="268"/>
      <c r="H59" s="268"/>
      <c r="I59" s="268"/>
      <c r="J59" s="269"/>
      <c r="K59" s="268"/>
      <c r="L59" s="268">
        <v>7</v>
      </c>
      <c r="M59" s="268"/>
      <c r="N59" s="268">
        <v>5</v>
      </c>
      <c r="O59" s="268"/>
      <c r="P59" s="268"/>
      <c r="Q59" s="268" t="s">
        <v>1041</v>
      </c>
      <c r="R59" s="270">
        <f t="shared" si="0"/>
        <v>0</v>
      </c>
      <c r="S59" s="268" t="s">
        <v>674</v>
      </c>
      <c r="T59" s="268"/>
      <c r="U59" s="261" t="s">
        <v>798</v>
      </c>
      <c r="V59" s="268"/>
      <c r="W59" s="870"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9">
        <f>SUMPRODUCT(('Gear &amp; Buffs'!$B$10:$B$71=A59)*('Gear &amp; Buffs'!$C$10:$C$71=TRUE))</f>
        <v>0</v>
      </c>
      <c r="Y59" s="271" t="b">
        <f t="shared" si="1"/>
        <v>0</v>
      </c>
      <c r="Z59" s="6" t="b">
        <v>1</v>
      </c>
      <c r="AA59" s="738">
        <v>56</v>
      </c>
      <c r="AB59" s="714" t="str">
        <f t="shared" si="2"/>
        <v/>
      </c>
    </row>
    <row r="60" spans="1:28">
      <c r="A60" s="267" t="s">
        <v>1499</v>
      </c>
      <c r="B60" s="268">
        <v>33782</v>
      </c>
      <c r="C60" s="268">
        <v>1</v>
      </c>
      <c r="D60" s="268"/>
      <c r="E60" s="268"/>
      <c r="F60" s="268"/>
      <c r="G60" s="268"/>
      <c r="H60" s="268"/>
      <c r="I60" s="268"/>
      <c r="J60" s="269"/>
      <c r="K60" s="268"/>
      <c r="L60" s="268">
        <v>6</v>
      </c>
      <c r="M60" s="268"/>
      <c r="N60" s="268">
        <v>4</v>
      </c>
      <c r="O60" s="268"/>
      <c r="P60" s="268"/>
      <c r="Q60" s="268" t="s">
        <v>1041</v>
      </c>
      <c r="R60" s="270">
        <f t="shared" si="0"/>
        <v>0</v>
      </c>
      <c r="S60" s="268" t="s">
        <v>674</v>
      </c>
      <c r="T60" s="268"/>
      <c r="U60" s="323" t="s">
        <v>799</v>
      </c>
      <c r="V60" s="268"/>
      <c r="W60" s="870"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9">
        <f>SUMPRODUCT(('Gear &amp; Buffs'!$B$10:$B$71=A60)*('Gear &amp; Buffs'!$C$10:$C$71=TRUE))</f>
        <v>0</v>
      </c>
      <c r="Y60" s="271" t="b">
        <f t="shared" si="1"/>
        <v>0</v>
      </c>
      <c r="Z60" s="6" t="b">
        <v>1</v>
      </c>
      <c r="AA60" s="738">
        <v>57</v>
      </c>
      <c r="AB60" s="714" t="str">
        <f t="shared" si="2"/>
        <v/>
      </c>
    </row>
    <row r="61" spans="1:28">
      <c r="A61" s="10" t="str">
        <f>" "</f>
        <v xml:space="preserve"> </v>
      </c>
      <c r="B61" s="114"/>
      <c r="C61" s="114">
        <v>1</v>
      </c>
      <c r="D61" s="114"/>
      <c r="E61" s="114"/>
      <c r="F61" s="114"/>
      <c r="G61" s="114"/>
      <c r="H61" s="114"/>
      <c r="I61" s="114"/>
      <c r="K61" s="114"/>
      <c r="L61" s="114"/>
      <c r="M61" s="114"/>
      <c r="N61" s="114"/>
      <c r="O61" s="114"/>
      <c r="P61" s="114"/>
      <c r="Q61" s="114" t="s">
        <v>1033</v>
      </c>
      <c r="R61" s="251">
        <f t="shared" si="0"/>
        <v>0</v>
      </c>
      <c r="S61" s="120" t="s">
        <v>1689</v>
      </c>
      <c r="U61" s="6" t="s">
        <v>1689</v>
      </c>
      <c r="W61" s="870">
        <f>MAX(W$1:$W60)+1</f>
        <v>16</v>
      </c>
      <c r="X61" s="120">
        <f>SUMPRODUCT(('Gear &amp; Buffs'!$B$10:$B$71=A61)*('Gear &amp; Buffs'!$C$10:$C$71=TRUE))</f>
        <v>0</v>
      </c>
      <c r="Y61" s="6" t="b">
        <f t="shared" si="1"/>
        <v>0</v>
      </c>
      <c r="Z61" s="6" t="b">
        <v>0</v>
      </c>
      <c r="AA61" s="738">
        <v>58</v>
      </c>
      <c r="AB61" s="714" t="str">
        <f t="shared" si="2"/>
        <v/>
      </c>
    </row>
    <row r="62" spans="1:28">
      <c r="A62" s="272" t="s">
        <v>1042</v>
      </c>
      <c r="B62" s="273"/>
      <c r="C62" s="273">
        <v>1</v>
      </c>
      <c r="D62" s="273"/>
      <c r="E62" s="273"/>
      <c r="F62" s="273"/>
      <c r="G62" s="273"/>
      <c r="H62" s="273"/>
      <c r="I62" s="273"/>
      <c r="J62" s="274"/>
      <c r="K62" s="273"/>
      <c r="L62" s="273"/>
      <c r="M62" s="273"/>
      <c r="N62" s="273"/>
      <c r="O62" s="273"/>
      <c r="P62" s="273"/>
      <c r="Q62" s="273" t="s">
        <v>1043</v>
      </c>
      <c r="R62" s="275">
        <f t="shared" si="0"/>
        <v>0</v>
      </c>
      <c r="S62" s="273" t="s">
        <v>1689</v>
      </c>
      <c r="T62" s="273"/>
      <c r="U62" s="358" t="s">
        <v>1689</v>
      </c>
      <c r="V62" s="273"/>
      <c r="W62" s="870">
        <f>MAX(W$1:$W61)+1</f>
        <v>17</v>
      </c>
      <c r="X62" s="274">
        <f>SUMPRODUCT(('Gear &amp; Buffs'!$B$10:$B$71=A62)*('Gear &amp; Buffs'!$C$10:$C$71=TRUE))</f>
        <v>0</v>
      </c>
      <c r="Y62" s="276" t="b">
        <f t="shared" si="1"/>
        <v>0</v>
      </c>
      <c r="Z62" s="6" t="b">
        <v>0</v>
      </c>
      <c r="AA62" s="738">
        <v>59</v>
      </c>
      <c r="AB62" s="714" t="str">
        <f t="shared" si="2"/>
        <v/>
      </c>
    </row>
    <row r="63" spans="1:28">
      <c r="A63" s="272" t="s">
        <v>1867</v>
      </c>
      <c r="B63" s="273">
        <v>33144</v>
      </c>
      <c r="C63" s="273">
        <v>3</v>
      </c>
      <c r="D63" s="273"/>
      <c r="E63" s="273"/>
      <c r="F63" s="273"/>
      <c r="G63" s="273"/>
      <c r="H63" s="273"/>
      <c r="I63" s="273"/>
      <c r="J63" s="274"/>
      <c r="K63" s="273"/>
      <c r="L63" s="273"/>
      <c r="M63" s="273"/>
      <c r="N63" s="273"/>
      <c r="O63" s="273">
        <v>12</v>
      </c>
      <c r="P63" s="273"/>
      <c r="Q63" s="273" t="s">
        <v>1043</v>
      </c>
      <c r="R63" s="275">
        <f t="shared" si="0"/>
        <v>0</v>
      </c>
      <c r="S63" s="273" t="s">
        <v>1556</v>
      </c>
      <c r="T63" s="273" t="s">
        <v>728</v>
      </c>
      <c r="U63" s="261" t="s">
        <v>798</v>
      </c>
      <c r="V63" s="273"/>
      <c r="W63" s="870"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4">
        <f>SUMPRODUCT(('Gear &amp; Buffs'!$B$10:$B$71=A63)*('Gear &amp; Buffs'!$C$10:$C$71=TRUE))</f>
        <v>0</v>
      </c>
      <c r="Y63" s="276" t="b">
        <f t="shared" si="1"/>
        <v>0</v>
      </c>
      <c r="Z63" s="6" t="b">
        <v>1</v>
      </c>
      <c r="AA63" s="738">
        <v>60</v>
      </c>
      <c r="AB63" s="714" t="str">
        <f t="shared" si="2"/>
        <v/>
      </c>
    </row>
    <row r="64" spans="1:28">
      <c r="A64" s="272" t="s">
        <v>1500</v>
      </c>
      <c r="B64" s="273">
        <v>24053</v>
      </c>
      <c r="C64" s="273">
        <v>1</v>
      </c>
      <c r="D64" s="273"/>
      <c r="E64" s="273"/>
      <c r="F64" s="273"/>
      <c r="G64" s="273"/>
      <c r="H64" s="273"/>
      <c r="I64" s="273"/>
      <c r="J64" s="274"/>
      <c r="K64" s="273"/>
      <c r="L64" s="273"/>
      <c r="M64" s="273"/>
      <c r="N64" s="273">
        <v>8</v>
      </c>
      <c r="O64" s="273"/>
      <c r="P64" s="273"/>
      <c r="Q64" s="273" t="s">
        <v>1043</v>
      </c>
      <c r="R64" s="275">
        <f t="shared" si="0"/>
        <v>0</v>
      </c>
      <c r="S64" s="273" t="s">
        <v>674</v>
      </c>
      <c r="T64" s="273"/>
      <c r="U64" s="323" t="s">
        <v>799</v>
      </c>
      <c r="V64" s="273"/>
      <c r="W64" s="870"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4">
        <f>SUMPRODUCT(('Gear &amp; Buffs'!$B$10:$B$71=A64)*('Gear &amp; Buffs'!$C$10:$C$71=TRUE))</f>
        <v>0</v>
      </c>
      <c r="Y64" s="276" t="b">
        <f t="shared" si="1"/>
        <v>0</v>
      </c>
      <c r="Z64" s="6" t="b">
        <v>1</v>
      </c>
      <c r="AA64" s="738">
        <v>61</v>
      </c>
      <c r="AB64" s="714" t="str">
        <f t="shared" si="2"/>
        <v/>
      </c>
    </row>
    <row r="65" spans="1:28">
      <c r="A65" s="272" t="s">
        <v>1982</v>
      </c>
      <c r="B65" s="273">
        <v>32209</v>
      </c>
      <c r="C65" s="273">
        <v>3</v>
      </c>
      <c r="D65" s="273"/>
      <c r="E65" s="273"/>
      <c r="F65" s="273"/>
      <c r="G65" s="273"/>
      <c r="H65" s="273"/>
      <c r="I65" s="273"/>
      <c r="J65" s="274"/>
      <c r="K65" s="273"/>
      <c r="L65" s="273"/>
      <c r="M65" s="273"/>
      <c r="N65" s="273">
        <v>10</v>
      </c>
      <c r="O65" s="273"/>
      <c r="P65" s="273"/>
      <c r="Q65" s="273" t="s">
        <v>1043</v>
      </c>
      <c r="R65" s="275">
        <f t="shared" si="0"/>
        <v>0</v>
      </c>
      <c r="S65" s="273" t="s">
        <v>674</v>
      </c>
      <c r="T65" s="273"/>
      <c r="U65" s="261" t="s">
        <v>798</v>
      </c>
      <c r="V65" s="273"/>
      <c r="W65" s="870"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4">
        <f>SUMPRODUCT(('Gear &amp; Buffs'!$B$10:$B$71=A65)*('Gear &amp; Buffs'!$C$10:$C$71=TRUE))</f>
        <v>0</v>
      </c>
      <c r="Y65" s="276" t="b">
        <f t="shared" si="1"/>
        <v>0</v>
      </c>
      <c r="Z65" s="6" t="b">
        <v>1</v>
      </c>
      <c r="AA65" s="738">
        <v>62</v>
      </c>
      <c r="AB65" s="714" t="str">
        <f t="shared" si="2"/>
        <v/>
      </c>
    </row>
    <row r="66" spans="1:28">
      <c r="A66" s="272" t="s">
        <v>1983</v>
      </c>
      <c r="B66" s="273">
        <v>24051</v>
      </c>
      <c r="C66" s="273">
        <v>1</v>
      </c>
      <c r="D66" s="273"/>
      <c r="E66" s="273"/>
      <c r="F66" s="273"/>
      <c r="G66" s="273"/>
      <c r="H66" s="273">
        <v>8</v>
      </c>
      <c r="I66" s="273"/>
      <c r="J66" s="274"/>
      <c r="K66" s="273"/>
      <c r="L66" s="273"/>
      <c r="M66" s="273"/>
      <c r="N66" s="273"/>
      <c r="O66" s="273"/>
      <c r="P66" s="273"/>
      <c r="Q66" s="273" t="s">
        <v>1043</v>
      </c>
      <c r="R66" s="275">
        <f t="shared" si="0"/>
        <v>44.400251737017243</v>
      </c>
      <c r="S66" s="273" t="s">
        <v>674</v>
      </c>
      <c r="T66" s="273"/>
      <c r="U66" s="323" t="s">
        <v>799</v>
      </c>
      <c r="V66" s="273"/>
      <c r="W66" s="870">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18</v>
      </c>
      <c r="X66" s="274">
        <f>SUMPRODUCT(('Gear &amp; Buffs'!$B$10:$B$71=A66)*('Gear &amp; Buffs'!$C$10:$C$71=TRUE))</f>
        <v>10</v>
      </c>
      <c r="Y66" s="276" t="b">
        <f t="shared" si="1"/>
        <v>0</v>
      </c>
      <c r="Z66" s="6" t="b">
        <v>0</v>
      </c>
      <c r="AA66" s="738">
        <v>63</v>
      </c>
      <c r="AB66" s="714" t="str">
        <f t="shared" si="2"/>
        <v/>
      </c>
    </row>
    <row r="67" spans="1:28">
      <c r="A67" s="272" t="s">
        <v>1984</v>
      </c>
      <c r="B67" s="273">
        <v>23116</v>
      </c>
      <c r="C67" s="273">
        <v>1</v>
      </c>
      <c r="D67" s="273"/>
      <c r="E67" s="273"/>
      <c r="F67" s="273"/>
      <c r="G67" s="273"/>
      <c r="H67" s="273">
        <v>6</v>
      </c>
      <c r="I67" s="273"/>
      <c r="J67" s="274"/>
      <c r="K67" s="273"/>
      <c r="L67" s="273"/>
      <c r="M67" s="273"/>
      <c r="N67" s="273"/>
      <c r="O67" s="273"/>
      <c r="P67" s="273"/>
      <c r="Q67" s="273" t="s">
        <v>1043</v>
      </c>
      <c r="R67" s="275">
        <f t="shared" si="0"/>
        <v>33.300188802762932</v>
      </c>
      <c r="S67" s="273" t="s">
        <v>674</v>
      </c>
      <c r="T67" s="273"/>
      <c r="U67" s="324" t="s">
        <v>800</v>
      </c>
      <c r="V67" s="273"/>
      <c r="W67" s="870"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4">
        <f>SUMPRODUCT(('Gear &amp; Buffs'!$B$10:$B$71=A67)*('Gear &amp; Buffs'!$C$10:$C$71=TRUE))</f>
        <v>0</v>
      </c>
      <c r="Y67" s="276" t="b">
        <f t="shared" si="1"/>
        <v>0</v>
      </c>
      <c r="Z67" s="6" t="b">
        <v>0</v>
      </c>
      <c r="AA67" s="738">
        <v>64</v>
      </c>
      <c r="AB67" s="714" t="str">
        <f t="shared" si="2"/>
        <v/>
      </c>
    </row>
    <row r="68" spans="1:28">
      <c r="A68" s="272" t="s">
        <v>1985</v>
      </c>
      <c r="B68" s="273">
        <v>32206</v>
      </c>
      <c r="C68" s="273">
        <v>3</v>
      </c>
      <c r="D68" s="273"/>
      <c r="E68" s="273"/>
      <c r="F68" s="273"/>
      <c r="G68" s="273"/>
      <c r="H68" s="273">
        <v>10</v>
      </c>
      <c r="I68" s="273"/>
      <c r="J68" s="274"/>
      <c r="K68" s="273"/>
      <c r="L68" s="273"/>
      <c r="M68" s="273"/>
      <c r="N68" s="273"/>
      <c r="O68" s="273"/>
      <c r="P68" s="273"/>
      <c r="Q68" s="273" t="s">
        <v>1043</v>
      </c>
      <c r="R68" s="275">
        <f t="shared" si="0"/>
        <v>55.500314671271553</v>
      </c>
      <c r="S68" s="273" t="s">
        <v>674</v>
      </c>
      <c r="T68" s="273"/>
      <c r="U68" s="261" t="s">
        <v>798</v>
      </c>
      <c r="V68" s="273"/>
      <c r="W68" s="870"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4">
        <f>SUMPRODUCT(('Gear &amp; Buffs'!$B$10:$B$71=A68)*('Gear &amp; Buffs'!$C$10:$C$71=TRUE))</f>
        <v>0</v>
      </c>
      <c r="Y68" s="276" t="b">
        <f t="shared" si="1"/>
        <v>0</v>
      </c>
      <c r="Z68" s="6" t="b">
        <v>0</v>
      </c>
      <c r="AA68" s="738">
        <v>65</v>
      </c>
      <c r="AB68" s="714" t="str">
        <f t="shared" si="2"/>
        <v/>
      </c>
    </row>
    <row r="69" spans="1:28">
      <c r="A69" s="272" t="s">
        <v>559</v>
      </c>
      <c r="B69" s="273">
        <v>24048</v>
      </c>
      <c r="C69" s="273">
        <v>1</v>
      </c>
      <c r="D69" s="273"/>
      <c r="E69" s="273"/>
      <c r="F69" s="273"/>
      <c r="G69" s="273">
        <v>8</v>
      </c>
      <c r="H69" s="273"/>
      <c r="I69" s="273"/>
      <c r="J69" s="274"/>
      <c r="K69" s="273"/>
      <c r="L69" s="273"/>
      <c r="M69" s="273"/>
      <c r="N69" s="273"/>
      <c r="O69" s="273"/>
      <c r="P69" s="273"/>
      <c r="Q69" s="273" t="s">
        <v>1043</v>
      </c>
      <c r="R69" s="275">
        <f t="shared" si="0"/>
        <v>5.4863704440758738</v>
      </c>
      <c r="S69" s="273" t="s">
        <v>674</v>
      </c>
      <c r="T69" s="273"/>
      <c r="U69" s="323" t="s">
        <v>799</v>
      </c>
      <c r="V69" s="273"/>
      <c r="W69" s="870">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19</v>
      </c>
      <c r="X69" s="274">
        <f>SUMPRODUCT(('Gear &amp; Buffs'!$B$10:$B$71=A69)*('Gear &amp; Buffs'!$C$10:$C$71=TRUE))</f>
        <v>0</v>
      </c>
      <c r="Y69" s="276" t="b">
        <f t="shared" si="1"/>
        <v>0</v>
      </c>
      <c r="Z69" s="6" t="b">
        <v>0</v>
      </c>
      <c r="AA69" s="738">
        <v>66</v>
      </c>
      <c r="AB69" s="714" t="str">
        <f t="shared" si="2"/>
        <v/>
      </c>
    </row>
    <row r="70" spans="1:28">
      <c r="A70" s="272" t="s">
        <v>560</v>
      </c>
      <c r="B70" s="273">
        <v>28290</v>
      </c>
      <c r="C70" s="273">
        <v>1</v>
      </c>
      <c r="D70" s="273"/>
      <c r="E70" s="273"/>
      <c r="F70" s="273"/>
      <c r="G70" s="273">
        <v>6</v>
      </c>
      <c r="H70" s="273"/>
      <c r="I70" s="273"/>
      <c r="J70" s="274"/>
      <c r="K70" s="273"/>
      <c r="L70" s="273"/>
      <c r="M70" s="273"/>
      <c r="N70" s="273"/>
      <c r="O70" s="273"/>
      <c r="P70" s="273"/>
      <c r="Q70" s="273" t="s">
        <v>1043</v>
      </c>
      <c r="R70" s="275">
        <f t="shared" si="0"/>
        <v>4.1147778330569054</v>
      </c>
      <c r="S70" s="273" t="s">
        <v>674</v>
      </c>
      <c r="T70" s="273"/>
      <c r="U70" s="324" t="s">
        <v>800</v>
      </c>
      <c r="V70" s="273"/>
      <c r="W70" s="870"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4">
        <f>SUMPRODUCT(('Gear &amp; Buffs'!$B$10:$B$71=A70)*('Gear &amp; Buffs'!$C$10:$C$71=TRUE))</f>
        <v>0</v>
      </c>
      <c r="Y70" s="276" t="b">
        <f t="shared" si="1"/>
        <v>0</v>
      </c>
      <c r="Z70" s="6" t="b">
        <v>0</v>
      </c>
      <c r="AA70" s="738">
        <v>67</v>
      </c>
      <c r="AB70" s="714" t="str">
        <f t="shared" si="2"/>
        <v/>
      </c>
    </row>
    <row r="71" spans="1:28">
      <c r="A71" s="272" t="s">
        <v>2043</v>
      </c>
      <c r="B71" s="273">
        <v>32205</v>
      </c>
      <c r="C71" s="273">
        <v>3</v>
      </c>
      <c r="D71" s="273"/>
      <c r="E71" s="273"/>
      <c r="F71" s="273"/>
      <c r="G71" s="273">
        <v>10</v>
      </c>
      <c r="H71" s="273"/>
      <c r="I71" s="273"/>
      <c r="J71" s="274"/>
      <c r="K71" s="273"/>
      <c r="L71" s="273"/>
      <c r="M71" s="273"/>
      <c r="N71" s="273"/>
      <c r="O71" s="273"/>
      <c r="P71" s="273"/>
      <c r="Q71" s="273" t="s">
        <v>1043</v>
      </c>
      <c r="R71" s="275">
        <f t="shared" si="0"/>
        <v>6.8579630550948423</v>
      </c>
      <c r="S71" s="273" t="s">
        <v>674</v>
      </c>
      <c r="T71" s="273"/>
      <c r="U71" s="261" t="s">
        <v>798</v>
      </c>
      <c r="V71" s="273"/>
      <c r="W71" s="870"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4">
        <f>SUMPRODUCT(('Gear &amp; Buffs'!$B$10:$B$71=A71)*('Gear &amp; Buffs'!$C$10:$C$71=TRUE))</f>
        <v>0</v>
      </c>
      <c r="Y71" s="276" t="b">
        <f t="shared" si="1"/>
        <v>0</v>
      </c>
      <c r="Z71" s="6" t="b">
        <v>0</v>
      </c>
      <c r="AA71" s="738">
        <v>68</v>
      </c>
      <c r="AB71" s="714" t="str">
        <f t="shared" ref="AB71:AB105" si="5">IF(ISNA(INDEX($A$4:$A$105,MATCH(AA71,W$4:W$105,0))), "", INDEX($A$4:$A$105,MATCH(AA71,W$4:W$105,0)))</f>
        <v/>
      </c>
    </row>
    <row r="72" spans="1:28">
      <c r="A72" s="272" t="s">
        <v>1419</v>
      </c>
      <c r="B72" s="273">
        <v>28119</v>
      </c>
      <c r="C72" s="273">
        <v>1</v>
      </c>
      <c r="D72" s="273"/>
      <c r="E72" s="273"/>
      <c r="F72" s="273"/>
      <c r="G72" s="273">
        <v>10</v>
      </c>
      <c r="H72" s="273"/>
      <c r="I72" s="273"/>
      <c r="J72" s="274"/>
      <c r="K72" s="273"/>
      <c r="L72" s="273"/>
      <c r="M72" s="273"/>
      <c r="N72" s="273"/>
      <c r="O72" s="273"/>
      <c r="P72" s="273"/>
      <c r="Q72" s="273" t="s">
        <v>1043</v>
      </c>
      <c r="R72" s="275">
        <f t="shared" si="0"/>
        <v>6.8579630550948423</v>
      </c>
      <c r="S72" s="273" t="s">
        <v>677</v>
      </c>
      <c r="T72" s="273" t="s">
        <v>728</v>
      </c>
      <c r="U72" s="261" t="s">
        <v>798</v>
      </c>
      <c r="V72" s="273"/>
      <c r="W72" s="870"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4">
        <f>SUMPRODUCT(('Gear &amp; Buffs'!$B$10:$B$71=A72)*('Gear &amp; Buffs'!$C$10:$C$71=TRUE))</f>
        <v>0</v>
      </c>
      <c r="Y72" s="276" t="b">
        <f t="shared" si="1"/>
        <v>0</v>
      </c>
      <c r="Z72" s="6" t="b">
        <v>0</v>
      </c>
      <c r="AA72" s="738">
        <v>69</v>
      </c>
      <c r="AB72" s="714" t="str">
        <f t="shared" si="5"/>
        <v/>
      </c>
    </row>
    <row r="73" spans="1:28">
      <c r="A73" s="272" t="s">
        <v>1667</v>
      </c>
      <c r="B73" s="273">
        <v>33143</v>
      </c>
      <c r="C73" s="273">
        <v>3</v>
      </c>
      <c r="D73" s="273"/>
      <c r="E73" s="273"/>
      <c r="F73" s="273"/>
      <c r="G73" s="273">
        <v>12</v>
      </c>
      <c r="H73" s="273"/>
      <c r="I73" s="273"/>
      <c r="J73" s="274"/>
      <c r="K73" s="273"/>
      <c r="L73" s="273"/>
      <c r="M73" s="273"/>
      <c r="N73" s="273"/>
      <c r="O73" s="273"/>
      <c r="P73" s="273"/>
      <c r="Q73" s="273" t="s">
        <v>1043</v>
      </c>
      <c r="R73" s="275">
        <f>$D73*dpsStr+$E73*dpsAgi+$G73*dpsCrit+$H73*dpsHit+$F73*dpsAP+$I73*dpsHaste+$J73*dpsArmor+$K73*dpsExp</f>
        <v>8.2295556661138107</v>
      </c>
      <c r="S73" s="273" t="s">
        <v>1556</v>
      </c>
      <c r="T73" s="273" t="s">
        <v>728</v>
      </c>
      <c r="U73" s="261" t="s">
        <v>798</v>
      </c>
      <c r="V73" s="273"/>
      <c r="W73" s="870"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4">
        <f>SUMPRODUCT(('Gear &amp; Buffs'!$B$10:$B$71=A73)*('Gear &amp; Buffs'!$C$10:$C$71=TRUE))</f>
        <v>0</v>
      </c>
      <c r="Y73" s="276" t="b">
        <f t="shared" si="1"/>
        <v>0</v>
      </c>
      <c r="Z73" s="6" t="b">
        <v>0</v>
      </c>
      <c r="AA73" s="738">
        <v>70</v>
      </c>
      <c r="AB73" s="714" t="str">
        <f t="shared" si="5"/>
        <v/>
      </c>
    </row>
    <row r="74" spans="1:28">
      <c r="A74" s="272" t="s">
        <v>1420</v>
      </c>
      <c r="B74" s="273">
        <v>27679</v>
      </c>
      <c r="C74" s="273">
        <v>3</v>
      </c>
      <c r="D74" s="273"/>
      <c r="E74" s="273"/>
      <c r="F74" s="273"/>
      <c r="G74" s="273"/>
      <c r="H74" s="273"/>
      <c r="I74" s="273"/>
      <c r="J74" s="274"/>
      <c r="K74" s="273"/>
      <c r="L74" s="273"/>
      <c r="M74" s="273"/>
      <c r="N74" s="273">
        <v>10</v>
      </c>
      <c r="O74" s="273"/>
      <c r="P74" s="273"/>
      <c r="Q74" s="273" t="s">
        <v>1043</v>
      </c>
      <c r="R74" s="275">
        <f t="shared" si="0"/>
        <v>0</v>
      </c>
      <c r="S74" s="273" t="s">
        <v>677</v>
      </c>
      <c r="T74" s="273" t="s">
        <v>728</v>
      </c>
      <c r="U74" s="261" t="s">
        <v>798</v>
      </c>
      <c r="V74" s="273"/>
      <c r="W74" s="870"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4">
        <f>SUMPRODUCT(('Gear &amp; Buffs'!$B$10:$B$71=A74)*('Gear &amp; Buffs'!$C$10:$C$71=TRUE))</f>
        <v>0</v>
      </c>
      <c r="Y74" s="276" t="b">
        <f t="shared" si="1"/>
        <v>0</v>
      </c>
      <c r="Z74" s="6" t="b">
        <v>1</v>
      </c>
      <c r="AA74" s="738">
        <v>71</v>
      </c>
      <c r="AB74" s="714" t="str">
        <f t="shared" si="5"/>
        <v/>
      </c>
    </row>
    <row r="75" spans="1:28">
      <c r="A75" s="272" t="s">
        <v>1872</v>
      </c>
      <c r="B75" s="273">
        <v>24052</v>
      </c>
      <c r="C75" s="273">
        <v>1</v>
      </c>
      <c r="D75" s="273"/>
      <c r="E75" s="273"/>
      <c r="F75" s="273"/>
      <c r="G75" s="273"/>
      <c r="H75" s="273"/>
      <c r="I75" s="273"/>
      <c r="J75" s="274"/>
      <c r="K75" s="273"/>
      <c r="L75" s="273"/>
      <c r="M75" s="273"/>
      <c r="N75" s="273"/>
      <c r="O75" s="273">
        <v>8</v>
      </c>
      <c r="P75" s="273"/>
      <c r="Q75" s="273" t="s">
        <v>1043</v>
      </c>
      <c r="R75" s="275">
        <f t="shared" si="0"/>
        <v>0</v>
      </c>
      <c r="S75" s="273" t="s">
        <v>674</v>
      </c>
      <c r="T75" s="273"/>
      <c r="U75" s="323" t="s">
        <v>799</v>
      </c>
      <c r="V75" s="273"/>
      <c r="W75" s="870"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4">
        <f>SUMPRODUCT(('Gear &amp; Buffs'!$B$10:$B$71=A75)*('Gear &amp; Buffs'!$C$10:$C$71=TRUE))</f>
        <v>0</v>
      </c>
      <c r="Y75" s="276" t="b">
        <f t="shared" si="1"/>
        <v>0</v>
      </c>
      <c r="Z75" s="6" t="b">
        <v>1</v>
      </c>
      <c r="AA75" s="738">
        <v>72</v>
      </c>
      <c r="AB75" s="714" t="str">
        <f t="shared" si="5"/>
        <v/>
      </c>
    </row>
    <row r="76" spans="1:28">
      <c r="A76" s="272" t="s">
        <v>1873</v>
      </c>
      <c r="B76" s="273">
        <v>23115</v>
      </c>
      <c r="C76" s="273">
        <v>1</v>
      </c>
      <c r="D76" s="273"/>
      <c r="E76" s="273"/>
      <c r="F76" s="273"/>
      <c r="G76" s="273"/>
      <c r="H76" s="273"/>
      <c r="I76" s="273"/>
      <c r="J76" s="274"/>
      <c r="K76" s="273"/>
      <c r="L76" s="273"/>
      <c r="M76" s="273"/>
      <c r="N76" s="273"/>
      <c r="O76" s="273">
        <v>6</v>
      </c>
      <c r="P76" s="273"/>
      <c r="Q76" s="273" t="s">
        <v>1043</v>
      </c>
      <c r="R76" s="275">
        <f t="shared" si="0"/>
        <v>0</v>
      </c>
      <c r="S76" s="273" t="s">
        <v>674</v>
      </c>
      <c r="T76" s="273"/>
      <c r="U76" s="324" t="s">
        <v>800</v>
      </c>
      <c r="V76" s="273"/>
      <c r="W76" s="870"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4">
        <f>SUMPRODUCT(('Gear &amp; Buffs'!$B$10:$B$71=A76)*('Gear &amp; Buffs'!$C$10:$C$71=TRUE))</f>
        <v>0</v>
      </c>
      <c r="Y76" s="276" t="b">
        <f t="shared" si="1"/>
        <v>0</v>
      </c>
      <c r="Z76" s="6" t="b">
        <v>1</v>
      </c>
      <c r="AA76" s="738">
        <v>73</v>
      </c>
      <c r="AB76" s="714" t="str">
        <f t="shared" si="5"/>
        <v/>
      </c>
    </row>
    <row r="77" spans="1:28">
      <c r="A77" s="272" t="s">
        <v>1869</v>
      </c>
      <c r="B77" s="273">
        <v>32208</v>
      </c>
      <c r="C77" s="273">
        <v>3</v>
      </c>
      <c r="D77" s="273"/>
      <c r="E77" s="273"/>
      <c r="F77" s="273"/>
      <c r="G77" s="273"/>
      <c r="H77" s="273"/>
      <c r="I77" s="273"/>
      <c r="J77" s="274"/>
      <c r="K77" s="273"/>
      <c r="L77" s="273"/>
      <c r="M77" s="273"/>
      <c r="N77" s="273"/>
      <c r="O77" s="273">
        <v>10</v>
      </c>
      <c r="P77" s="273"/>
      <c r="Q77" s="273" t="s">
        <v>1043</v>
      </c>
      <c r="R77" s="275">
        <f t="shared" si="0"/>
        <v>0</v>
      </c>
      <c r="S77" s="273" t="s">
        <v>674</v>
      </c>
      <c r="T77" s="273"/>
      <c r="U77" s="261" t="s">
        <v>798</v>
      </c>
      <c r="V77" s="273"/>
      <c r="W77" s="870"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4">
        <f>SUMPRODUCT(('Gear &amp; Buffs'!$B$10:$B$71=A77)*('Gear &amp; Buffs'!$C$10:$C$71=TRUE))</f>
        <v>0</v>
      </c>
      <c r="Y77" s="276" t="b">
        <f t="shared" si="1"/>
        <v>0</v>
      </c>
      <c r="Z77" s="6" t="b">
        <v>1</v>
      </c>
      <c r="AA77" s="738">
        <v>74</v>
      </c>
      <c r="AB77" s="714" t="str">
        <f t="shared" si="5"/>
        <v/>
      </c>
    </row>
    <row r="78" spans="1:28">
      <c r="A78" s="10" t="str">
        <f>" "</f>
        <v xml:space="preserve"> </v>
      </c>
      <c r="B78" s="114"/>
      <c r="C78" s="114">
        <v>1</v>
      </c>
      <c r="D78" s="114"/>
      <c r="E78" s="114"/>
      <c r="F78" s="114"/>
      <c r="G78" s="114"/>
      <c r="H78" s="114"/>
      <c r="I78" s="114"/>
      <c r="K78" s="114"/>
      <c r="L78" s="114"/>
      <c r="M78" s="114"/>
      <c r="N78" s="114"/>
      <c r="O78" s="114"/>
      <c r="P78" s="114"/>
      <c r="Q78" s="114" t="s">
        <v>1033</v>
      </c>
      <c r="R78" s="251">
        <f t="shared" si="0"/>
        <v>0</v>
      </c>
      <c r="S78" s="120" t="s">
        <v>1689</v>
      </c>
      <c r="U78" s="6" t="s">
        <v>1689</v>
      </c>
      <c r="W78" s="870">
        <f>MAX(W$1:$W77)+1</f>
        <v>20</v>
      </c>
      <c r="X78" s="120">
        <f>SUMPRODUCT(('Gear &amp; Buffs'!$B$10:$B$71=A78)*('Gear &amp; Buffs'!$C$10:$C$71=TRUE))</f>
        <v>0</v>
      </c>
      <c r="Y78" s="6" t="b">
        <f t="shared" si="1"/>
        <v>0</v>
      </c>
      <c r="Z78" s="6" t="b">
        <v>0</v>
      </c>
      <c r="AA78" s="738">
        <v>75</v>
      </c>
      <c r="AB78" s="714" t="str">
        <f t="shared" si="5"/>
        <v/>
      </c>
    </row>
    <row r="79" spans="1:28">
      <c r="A79" s="277" t="s">
        <v>1044</v>
      </c>
      <c r="B79" s="278"/>
      <c r="C79" s="278">
        <v>1</v>
      </c>
      <c r="D79" s="278"/>
      <c r="E79" s="278"/>
      <c r="F79" s="278"/>
      <c r="G79" s="278"/>
      <c r="H79" s="278"/>
      <c r="I79" s="278"/>
      <c r="J79" s="279"/>
      <c r="K79" s="278"/>
      <c r="L79" s="278"/>
      <c r="M79" s="278"/>
      <c r="N79" s="278"/>
      <c r="O79" s="278"/>
      <c r="P79" s="278"/>
      <c r="Q79" s="278" t="s">
        <v>1045</v>
      </c>
      <c r="R79" s="280">
        <f t="shared" si="0"/>
        <v>0</v>
      </c>
      <c r="S79" s="278" t="s">
        <v>1689</v>
      </c>
      <c r="T79" s="278"/>
      <c r="U79" s="358" t="s">
        <v>1689</v>
      </c>
      <c r="V79" s="278"/>
      <c r="W79" s="870">
        <f>MAX(W$1:$W78)+1</f>
        <v>21</v>
      </c>
      <c r="X79" s="279">
        <f>SUMPRODUCT(('Gear &amp; Buffs'!$B$10:$B$71=A79)*('Gear &amp; Buffs'!$C$10:$C$71=TRUE))</f>
        <v>0</v>
      </c>
      <c r="Y79" s="281" t="b">
        <f t="shared" si="1"/>
        <v>0</v>
      </c>
      <c r="Z79" s="6" t="b">
        <v>0</v>
      </c>
      <c r="AA79" s="738">
        <v>76</v>
      </c>
      <c r="AB79" s="714" t="str">
        <f t="shared" si="5"/>
        <v/>
      </c>
    </row>
    <row r="80" spans="1:28">
      <c r="A80" s="277" t="s">
        <v>296</v>
      </c>
      <c r="B80" s="278">
        <v>30565</v>
      </c>
      <c r="C80" s="278">
        <v>1</v>
      </c>
      <c r="D80" s="278"/>
      <c r="E80" s="278"/>
      <c r="F80" s="278"/>
      <c r="G80" s="278">
        <v>6</v>
      </c>
      <c r="H80" s="278"/>
      <c r="I80" s="278"/>
      <c r="J80" s="279"/>
      <c r="K80" s="278"/>
      <c r="L80" s="278"/>
      <c r="M80" s="278">
        <v>5</v>
      </c>
      <c r="N80" s="278"/>
      <c r="O80" s="278"/>
      <c r="P80" s="278"/>
      <c r="Q80" s="278" t="s">
        <v>1045</v>
      </c>
      <c r="R80" s="280">
        <f t="shared" si="0"/>
        <v>4.1147778330569054</v>
      </c>
      <c r="S80" s="278" t="s">
        <v>691</v>
      </c>
      <c r="T80" s="278"/>
      <c r="U80" s="261" t="s">
        <v>798</v>
      </c>
      <c r="V80" s="278"/>
      <c r="W80" s="870"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9">
        <f>SUMPRODUCT(('Gear &amp; Buffs'!$B$10:$B$71=A80)*('Gear &amp; Buffs'!$C$10:$C$71=TRUE))</f>
        <v>0</v>
      </c>
      <c r="Y80" s="281" t="b">
        <f t="shared" si="1"/>
        <v>0</v>
      </c>
      <c r="Z80" s="6" t="b">
        <v>0</v>
      </c>
      <c r="AA80" s="738">
        <v>77</v>
      </c>
      <c r="AB80" s="714" t="str">
        <f t="shared" si="5"/>
        <v/>
      </c>
    </row>
    <row r="81" spans="1:28">
      <c r="A81" s="277" t="s">
        <v>1876</v>
      </c>
      <c r="B81" s="278">
        <v>30601</v>
      </c>
      <c r="C81" s="278">
        <v>1</v>
      </c>
      <c r="D81" s="278"/>
      <c r="E81" s="278"/>
      <c r="F81" s="278"/>
      <c r="G81" s="278"/>
      <c r="H81" s="278"/>
      <c r="I81" s="278"/>
      <c r="J81" s="279"/>
      <c r="K81" s="278"/>
      <c r="L81" s="278"/>
      <c r="M81" s="278">
        <v>5</v>
      </c>
      <c r="N81" s="278">
        <v>4</v>
      </c>
      <c r="O81" s="278"/>
      <c r="P81" s="278"/>
      <c r="Q81" s="278" t="s">
        <v>1045</v>
      </c>
      <c r="R81" s="280">
        <f t="shared" si="0"/>
        <v>0</v>
      </c>
      <c r="S81" s="278" t="s">
        <v>691</v>
      </c>
      <c r="T81" s="278"/>
      <c r="U81" s="261" t="s">
        <v>798</v>
      </c>
      <c r="V81" s="278"/>
      <c r="W81" s="870"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9">
        <f>SUMPRODUCT(('Gear &amp; Buffs'!$B$10:$B$71=A81)*('Gear &amp; Buffs'!$C$10:$C$71=TRUE))</f>
        <v>0</v>
      </c>
      <c r="Y81" s="281" t="b">
        <f t="shared" si="1"/>
        <v>0</v>
      </c>
      <c r="Z81" s="6" t="b">
        <v>1</v>
      </c>
      <c r="AA81" s="738">
        <v>78</v>
      </c>
      <c r="AB81" s="714" t="str">
        <f t="shared" si="5"/>
        <v/>
      </c>
    </row>
    <row r="82" spans="1:28">
      <c r="A82" s="277" t="s">
        <v>1877</v>
      </c>
      <c r="B82" s="278">
        <v>30587</v>
      </c>
      <c r="C82" s="278">
        <v>1</v>
      </c>
      <c r="D82" s="278">
        <v>5</v>
      </c>
      <c r="E82" s="278"/>
      <c r="F82" s="278"/>
      <c r="G82" s="278"/>
      <c r="H82" s="278"/>
      <c r="I82" s="278"/>
      <c r="J82" s="279"/>
      <c r="K82" s="278"/>
      <c r="L82" s="278"/>
      <c r="M82" s="278"/>
      <c r="N82" s="278"/>
      <c r="O82" s="278">
        <v>4</v>
      </c>
      <c r="P82" s="278"/>
      <c r="Q82" s="278" t="s">
        <v>1045</v>
      </c>
      <c r="R82" s="280">
        <f t="shared" si="0"/>
        <v>1.9653151422062365</v>
      </c>
      <c r="S82" s="278" t="s">
        <v>691</v>
      </c>
      <c r="T82" s="278"/>
      <c r="U82" s="261" t="s">
        <v>798</v>
      </c>
      <c r="V82" s="278"/>
      <c r="W82" s="870"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9">
        <f>SUMPRODUCT(('Gear &amp; Buffs'!$B$10:$B$71=A82)*('Gear &amp; Buffs'!$C$10:$C$71=TRUE))</f>
        <v>0</v>
      </c>
      <c r="Y82" s="281" t="b">
        <f t="shared" si="1"/>
        <v>0</v>
      </c>
      <c r="Z82" s="6" t="b">
        <v>0</v>
      </c>
      <c r="AA82" s="738">
        <v>79</v>
      </c>
      <c r="AB82" s="714" t="str">
        <f t="shared" si="5"/>
        <v/>
      </c>
    </row>
    <row r="83" spans="1:28">
      <c r="A83" s="277" t="s">
        <v>297</v>
      </c>
      <c r="B83" s="278">
        <v>30582</v>
      </c>
      <c r="C83" s="278">
        <v>1</v>
      </c>
      <c r="D83" s="278"/>
      <c r="E83" s="278"/>
      <c r="F83" s="278">
        <v>8</v>
      </c>
      <c r="G83" s="278">
        <v>5</v>
      </c>
      <c r="H83" s="278"/>
      <c r="I83" s="278"/>
      <c r="J83" s="279"/>
      <c r="K83" s="278"/>
      <c r="L83" s="278"/>
      <c r="M83" s="278"/>
      <c r="N83" s="278"/>
      <c r="O83" s="278"/>
      <c r="P83" s="278"/>
      <c r="Q83" s="278" t="s">
        <v>1045</v>
      </c>
      <c r="R83" s="280">
        <f t="shared" si="0"/>
        <v>6.287621734388722</v>
      </c>
      <c r="S83" s="278" t="s">
        <v>691</v>
      </c>
      <c r="T83" s="278"/>
      <c r="U83" s="261" t="s">
        <v>798</v>
      </c>
      <c r="V83" s="278"/>
      <c r="W83" s="870"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9">
        <f>SUMPRODUCT(('Gear &amp; Buffs'!$B$10:$B$71=A83)*('Gear &amp; Buffs'!$C$10:$C$71=TRUE))</f>
        <v>0</v>
      </c>
      <c r="Y83" s="281" t="b">
        <f t="shared" si="1"/>
        <v>0</v>
      </c>
      <c r="Z83" s="6" t="b">
        <v>0</v>
      </c>
      <c r="AA83" s="738">
        <v>80</v>
      </c>
      <c r="AB83" s="714" t="str">
        <f t="shared" si="5"/>
        <v/>
      </c>
    </row>
    <row r="84" spans="1:28">
      <c r="A84" s="277" t="s">
        <v>298</v>
      </c>
      <c r="B84" s="278">
        <v>30591</v>
      </c>
      <c r="C84" s="278">
        <v>1</v>
      </c>
      <c r="D84" s="278"/>
      <c r="E84" s="278"/>
      <c r="F84" s="278">
        <v>8</v>
      </c>
      <c r="G84" s="278"/>
      <c r="H84" s="278"/>
      <c r="I84" s="278"/>
      <c r="J84" s="279"/>
      <c r="K84" s="278"/>
      <c r="L84" s="278"/>
      <c r="M84" s="278"/>
      <c r="N84" s="278">
        <v>5</v>
      </c>
      <c r="O84" s="278"/>
      <c r="P84" s="278"/>
      <c r="Q84" s="278" t="s">
        <v>1045</v>
      </c>
      <c r="R84" s="280">
        <f t="shared" si="0"/>
        <v>2.8586402068413008</v>
      </c>
      <c r="S84" s="278" t="s">
        <v>691</v>
      </c>
      <c r="T84" s="278"/>
      <c r="U84" s="261" t="s">
        <v>798</v>
      </c>
      <c r="V84" s="278"/>
      <c r="W84" s="870"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9">
        <f>SUMPRODUCT(('Gear &amp; Buffs'!$B$10:$B$71=A84)*('Gear &amp; Buffs'!$C$10:$C$71=TRUE))</f>
        <v>0</v>
      </c>
      <c r="Y84" s="281" t="b">
        <f t="shared" si="1"/>
        <v>0</v>
      </c>
      <c r="Z84" s="6" t="b">
        <v>0</v>
      </c>
      <c r="AA84" s="738">
        <v>81</v>
      </c>
      <c r="AB84" s="714" t="str">
        <f t="shared" si="5"/>
        <v/>
      </c>
    </row>
    <row r="85" spans="1:28">
      <c r="A85" s="277" t="s">
        <v>299</v>
      </c>
      <c r="B85" s="278">
        <v>30584</v>
      </c>
      <c r="C85" s="278">
        <v>1</v>
      </c>
      <c r="D85" s="278">
        <v>5</v>
      </c>
      <c r="E85" s="278"/>
      <c r="F85" s="278"/>
      <c r="G85" s="278">
        <v>4</v>
      </c>
      <c r="H85" s="278"/>
      <c r="I85" s="278"/>
      <c r="J85" s="279"/>
      <c r="K85" s="278"/>
      <c r="L85" s="278"/>
      <c r="M85" s="278"/>
      <c r="N85" s="278"/>
      <c r="O85" s="278"/>
      <c r="P85" s="278"/>
      <c r="Q85" s="278" t="s">
        <v>1045</v>
      </c>
      <c r="R85" s="280">
        <f t="shared" si="0"/>
        <v>4.7085003642441734</v>
      </c>
      <c r="S85" s="278" t="s">
        <v>691</v>
      </c>
      <c r="T85" s="278"/>
      <c r="U85" s="261" t="s">
        <v>798</v>
      </c>
      <c r="V85" s="278"/>
      <c r="W85" s="870"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9">
        <f>SUMPRODUCT(('Gear &amp; Buffs'!$B$10:$B$71=A85)*('Gear &amp; Buffs'!$C$10:$C$71=TRUE))</f>
        <v>0</v>
      </c>
      <c r="Y85" s="281" t="b">
        <f t="shared" si="1"/>
        <v>0</v>
      </c>
      <c r="Z85" s="6" t="b">
        <v>0</v>
      </c>
      <c r="AA85" s="738">
        <v>82</v>
      </c>
      <c r="AB85" s="714" t="str">
        <f t="shared" si="5"/>
        <v/>
      </c>
    </row>
    <row r="86" spans="1:28">
      <c r="A86" s="277" t="s">
        <v>300</v>
      </c>
      <c r="B86" s="278">
        <v>30559</v>
      </c>
      <c r="C86" s="278">
        <v>1</v>
      </c>
      <c r="D86" s="278">
        <v>5</v>
      </c>
      <c r="E86" s="278"/>
      <c r="F86" s="278"/>
      <c r="G86" s="278"/>
      <c r="H86" s="278">
        <v>4</v>
      </c>
      <c r="I86" s="278"/>
      <c r="J86" s="279"/>
      <c r="K86" s="278"/>
      <c r="L86" s="278"/>
      <c r="M86" s="278"/>
      <c r="N86" s="278"/>
      <c r="O86" s="278"/>
      <c r="P86" s="278"/>
      <c r="Q86" s="278" t="s">
        <v>1045</v>
      </c>
      <c r="R86" s="280">
        <f t="shared" si="0"/>
        <v>24.165441010714858</v>
      </c>
      <c r="S86" s="278" t="s">
        <v>691</v>
      </c>
      <c r="T86" s="278"/>
      <c r="U86" s="261" t="s">
        <v>798</v>
      </c>
      <c r="V86" s="278"/>
      <c r="W86" s="870"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9">
        <f>SUMPRODUCT(('Gear &amp; Buffs'!$B$10:$B$71=A86)*('Gear &amp; Buffs'!$C$10:$C$71=TRUE))</f>
        <v>0</v>
      </c>
      <c r="Y86" s="281" t="b">
        <f t="shared" si="1"/>
        <v>0</v>
      </c>
      <c r="Z86" s="6" t="b">
        <v>0</v>
      </c>
      <c r="AA86" s="738">
        <v>83</v>
      </c>
      <c r="AB86" s="714" t="str">
        <f t="shared" si="5"/>
        <v/>
      </c>
    </row>
    <row r="87" spans="1:28">
      <c r="A87" s="277" t="s">
        <v>1878</v>
      </c>
      <c r="B87" s="278">
        <v>30558</v>
      </c>
      <c r="C87" s="278">
        <v>1</v>
      </c>
      <c r="D87" s="278"/>
      <c r="E87" s="278"/>
      <c r="F87" s="278"/>
      <c r="G87" s="278"/>
      <c r="H87" s="278"/>
      <c r="I87" s="278"/>
      <c r="J87" s="279"/>
      <c r="K87" s="278"/>
      <c r="L87" s="278"/>
      <c r="M87" s="278"/>
      <c r="N87" s="278"/>
      <c r="O87" s="278">
        <v>4</v>
      </c>
      <c r="P87" s="278"/>
      <c r="Q87" s="278" t="s">
        <v>1045</v>
      </c>
      <c r="R87" s="280">
        <f t="shared" si="0"/>
        <v>0</v>
      </c>
      <c r="S87" s="278" t="s">
        <v>691</v>
      </c>
      <c r="T87" s="278"/>
      <c r="U87" s="261" t="s">
        <v>798</v>
      </c>
      <c r="V87" s="278">
        <v>5</v>
      </c>
      <c r="W87" s="870"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9">
        <f>SUMPRODUCT(('Gear &amp; Buffs'!$B$10:$B$71=A87)*('Gear &amp; Buffs'!$C$10:$C$71=TRUE))</f>
        <v>0</v>
      </c>
      <c r="Y87" s="281" t="b">
        <f t="shared" ref="Y87:Y105" si="6">IF(AND(T87="unique",X87&gt;0),TRUE,FALSE)</f>
        <v>0</v>
      </c>
      <c r="Z87" s="6" t="b">
        <v>1</v>
      </c>
      <c r="AA87" s="738">
        <v>84</v>
      </c>
      <c r="AB87" s="714" t="str">
        <f t="shared" si="5"/>
        <v/>
      </c>
    </row>
    <row r="88" spans="1:28">
      <c r="A88" s="277" t="s">
        <v>301</v>
      </c>
      <c r="B88" s="278">
        <v>30556</v>
      </c>
      <c r="C88" s="278">
        <v>1</v>
      </c>
      <c r="D88" s="278"/>
      <c r="E88" s="278">
        <v>5</v>
      </c>
      <c r="F88" s="278"/>
      <c r="G88" s="278"/>
      <c r="H88" s="278">
        <v>4</v>
      </c>
      <c r="I88" s="278"/>
      <c r="J88" s="279"/>
      <c r="K88" s="278"/>
      <c r="L88" s="278"/>
      <c r="M88" s="278"/>
      <c r="N88" s="278"/>
      <c r="O88" s="278"/>
      <c r="P88" s="278"/>
      <c r="Q88" s="278" t="s">
        <v>1045</v>
      </c>
      <c r="R88" s="280">
        <f t="shared" si="0"/>
        <v>26.336190215183478</v>
      </c>
      <c r="S88" s="278" t="s">
        <v>691</v>
      </c>
      <c r="T88" s="278"/>
      <c r="U88" s="261" t="s">
        <v>798</v>
      </c>
      <c r="V88" s="278"/>
      <c r="W88" s="870"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9">
        <f>SUMPRODUCT(('Gear &amp; Buffs'!$B$10:$B$71=A88)*('Gear &amp; Buffs'!$C$10:$C$71=TRUE))</f>
        <v>0</v>
      </c>
      <c r="Y88" s="281" t="b">
        <f t="shared" si="6"/>
        <v>0</v>
      </c>
      <c r="Z88" s="6" t="b">
        <v>0</v>
      </c>
      <c r="AA88" s="738">
        <v>85</v>
      </c>
      <c r="AB88" s="714" t="str">
        <f t="shared" si="5"/>
        <v/>
      </c>
    </row>
    <row r="89" spans="1:28">
      <c r="A89" s="277" t="s">
        <v>302</v>
      </c>
      <c r="B89" s="278">
        <v>23100</v>
      </c>
      <c r="C89" s="278">
        <v>1</v>
      </c>
      <c r="D89" s="278"/>
      <c r="E89" s="278">
        <v>3</v>
      </c>
      <c r="F89" s="278"/>
      <c r="G89" s="278"/>
      <c r="H89" s="278">
        <v>3</v>
      </c>
      <c r="I89" s="278"/>
      <c r="J89" s="279"/>
      <c r="K89" s="278"/>
      <c r="L89" s="278"/>
      <c r="M89" s="278"/>
      <c r="N89" s="278"/>
      <c r="O89" s="278"/>
      <c r="P89" s="278"/>
      <c r="Q89" s="278" t="s">
        <v>1045</v>
      </c>
      <c r="R89" s="280">
        <f t="shared" si="0"/>
        <v>19.13173300938638</v>
      </c>
      <c r="S89" s="278" t="s">
        <v>674</v>
      </c>
      <c r="T89" s="278"/>
      <c r="U89" s="324" t="s">
        <v>800</v>
      </c>
      <c r="V89" s="278"/>
      <c r="W89" s="870"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9">
        <f>SUMPRODUCT(('Gear &amp; Buffs'!$B$10:$B$71=A89)*('Gear &amp; Buffs'!$C$10:$C$71=TRUE))</f>
        <v>0</v>
      </c>
      <c r="Y89" s="281" t="b">
        <f t="shared" si="6"/>
        <v>0</v>
      </c>
      <c r="Z89" s="6" t="b">
        <v>0</v>
      </c>
      <c r="AA89" s="738">
        <v>86</v>
      </c>
      <c r="AB89" s="714" t="str">
        <f t="shared" si="5"/>
        <v/>
      </c>
    </row>
    <row r="90" spans="1:28">
      <c r="A90" s="277" t="s">
        <v>303</v>
      </c>
      <c r="B90" s="278">
        <v>24061</v>
      </c>
      <c r="C90" s="278">
        <v>1</v>
      </c>
      <c r="D90" s="278"/>
      <c r="E90" s="278">
        <v>4</v>
      </c>
      <c r="F90" s="278"/>
      <c r="G90" s="278"/>
      <c r="H90" s="278">
        <v>4</v>
      </c>
      <c r="I90" s="278"/>
      <c r="J90" s="279"/>
      <c r="K90" s="278"/>
      <c r="L90" s="278"/>
      <c r="M90" s="278"/>
      <c r="N90" s="278"/>
      <c r="O90" s="278"/>
      <c r="P90" s="278"/>
      <c r="Q90" s="278" t="s">
        <v>1045</v>
      </c>
      <c r="R90" s="280">
        <f t="shared" si="0"/>
        <v>25.508977345848507</v>
      </c>
      <c r="S90" s="278" t="s">
        <v>674</v>
      </c>
      <c r="T90" s="278"/>
      <c r="U90" s="323" t="s">
        <v>799</v>
      </c>
      <c r="V90" s="278"/>
      <c r="W90" s="870">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22</v>
      </c>
      <c r="X90" s="279">
        <f>SUMPRODUCT(('Gear &amp; Buffs'!$B$10:$B$71=A90)*('Gear &amp; Buffs'!$C$10:$C$71=TRUE))</f>
        <v>2</v>
      </c>
      <c r="Y90" s="281" t="b">
        <f t="shared" si="6"/>
        <v>0</v>
      </c>
      <c r="Z90" s="6" t="b">
        <v>0</v>
      </c>
      <c r="AA90" s="738">
        <v>87</v>
      </c>
      <c r="AB90" s="714" t="str">
        <f t="shared" si="5"/>
        <v/>
      </c>
    </row>
    <row r="91" spans="1:28">
      <c r="A91" s="277" t="s">
        <v>304</v>
      </c>
      <c r="B91" s="278">
        <v>32220</v>
      </c>
      <c r="C91" s="278">
        <v>3</v>
      </c>
      <c r="D91" s="278"/>
      <c r="E91" s="278">
        <v>5</v>
      </c>
      <c r="F91" s="278"/>
      <c r="G91" s="278"/>
      <c r="H91" s="278">
        <v>5</v>
      </c>
      <c r="I91" s="278"/>
      <c r="J91" s="279"/>
      <c r="K91" s="278"/>
      <c r="L91" s="278"/>
      <c r="M91" s="278"/>
      <c r="N91" s="278"/>
      <c r="O91" s="278"/>
      <c r="P91" s="278"/>
      <c r="Q91" s="278" t="s">
        <v>1045</v>
      </c>
      <c r="R91" s="280">
        <f t="shared" si="0"/>
        <v>31.886221682310634</v>
      </c>
      <c r="S91" s="278" t="s">
        <v>674</v>
      </c>
      <c r="T91" s="278"/>
      <c r="U91" s="261" t="s">
        <v>798</v>
      </c>
      <c r="V91" s="278"/>
      <c r="W91" s="870"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9">
        <f>SUMPRODUCT(('Gear &amp; Buffs'!$B$10:$B$71=A91)*('Gear &amp; Buffs'!$C$10:$C$71=TRUE))</f>
        <v>0</v>
      </c>
      <c r="Y91" s="281" t="b">
        <f t="shared" si="6"/>
        <v>0</v>
      </c>
      <c r="Z91" s="6" t="b">
        <v>0</v>
      </c>
      <c r="AA91" s="738">
        <v>88</v>
      </c>
      <c r="AB91" s="714" t="str">
        <f t="shared" si="5"/>
        <v/>
      </c>
    </row>
    <row r="92" spans="1:28">
      <c r="A92" s="277" t="s">
        <v>1879</v>
      </c>
      <c r="B92" s="278">
        <v>30585</v>
      </c>
      <c r="C92" s="278">
        <v>1</v>
      </c>
      <c r="D92" s="278"/>
      <c r="E92" s="278">
        <v>4</v>
      </c>
      <c r="F92" s="278"/>
      <c r="G92" s="278"/>
      <c r="H92" s="278"/>
      <c r="I92" s="278"/>
      <c r="J92" s="279"/>
      <c r="K92" s="278"/>
      <c r="L92" s="278"/>
      <c r="M92" s="278"/>
      <c r="N92" s="278"/>
      <c r="O92" s="278">
        <v>5</v>
      </c>
      <c r="P92" s="278"/>
      <c r="Q92" s="278" t="s">
        <v>1045</v>
      </c>
      <c r="R92" s="280">
        <f t="shared" si="0"/>
        <v>3.3088514773398856</v>
      </c>
      <c r="S92" s="278" t="s">
        <v>674</v>
      </c>
      <c r="T92" s="278"/>
      <c r="U92" s="261" t="s">
        <v>798</v>
      </c>
      <c r="V92" s="278"/>
      <c r="W92" s="870"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9">
        <f>SUMPRODUCT(('Gear &amp; Buffs'!$B$10:$B$71=A92)*('Gear &amp; Buffs'!$C$10:$C$71=TRUE))</f>
        <v>0</v>
      </c>
      <c r="Y92" s="281" t="b">
        <f t="shared" si="6"/>
        <v>0</v>
      </c>
      <c r="Z92" s="6" t="b">
        <v>0</v>
      </c>
      <c r="AA92" s="738">
        <v>89</v>
      </c>
      <c r="AB92" s="714" t="str">
        <f t="shared" si="5"/>
        <v/>
      </c>
    </row>
    <row r="93" spans="1:28">
      <c r="A93" s="277" t="s">
        <v>1680</v>
      </c>
      <c r="B93" s="278">
        <v>23098</v>
      </c>
      <c r="C93" s="278">
        <v>1</v>
      </c>
      <c r="D93" s="278">
        <v>3</v>
      </c>
      <c r="E93" s="278"/>
      <c r="F93" s="278"/>
      <c r="G93" s="278">
        <v>3</v>
      </c>
      <c r="H93" s="278"/>
      <c r="I93" s="278"/>
      <c r="J93" s="279"/>
      <c r="K93" s="278"/>
      <c r="L93" s="278"/>
      <c r="M93" s="278"/>
      <c r="N93" s="278"/>
      <c r="O93" s="278"/>
      <c r="P93" s="278"/>
      <c r="Q93" s="278" t="s">
        <v>1045</v>
      </c>
      <c r="R93" s="280">
        <f t="shared" si="0"/>
        <v>3.2365780018521946</v>
      </c>
      <c r="S93" s="278" t="s">
        <v>674</v>
      </c>
      <c r="T93" s="278"/>
      <c r="U93" s="324" t="s">
        <v>800</v>
      </c>
      <c r="V93" s="278"/>
      <c r="W93" s="870"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9">
        <f>SUMPRODUCT(('Gear &amp; Buffs'!$B$10:$B$71=A93)*('Gear &amp; Buffs'!$C$10:$C$71=TRUE))</f>
        <v>0</v>
      </c>
      <c r="Y93" s="281" t="b">
        <f t="shared" si="6"/>
        <v>0</v>
      </c>
      <c r="Z93" s="6" t="b">
        <v>0</v>
      </c>
      <c r="AA93" s="738">
        <v>90</v>
      </c>
      <c r="AB93" s="714" t="str">
        <f t="shared" si="5"/>
        <v/>
      </c>
    </row>
    <row r="94" spans="1:28">
      <c r="A94" s="277" t="s">
        <v>1681</v>
      </c>
      <c r="B94" s="278">
        <v>24058</v>
      </c>
      <c r="C94" s="278">
        <v>1</v>
      </c>
      <c r="D94" s="278">
        <v>4</v>
      </c>
      <c r="E94" s="278"/>
      <c r="F94" s="278"/>
      <c r="G94" s="278">
        <v>4</v>
      </c>
      <c r="H94" s="278"/>
      <c r="I94" s="278"/>
      <c r="J94" s="279"/>
      <c r="K94" s="278"/>
      <c r="L94" s="278"/>
      <c r="M94" s="278"/>
      <c r="N94" s="278"/>
      <c r="O94" s="278"/>
      <c r="P94" s="278"/>
      <c r="Q94" s="278" t="s">
        <v>1045</v>
      </c>
      <c r="R94" s="280">
        <f t="shared" ref="R94:R105" si="7">$D94*dpsStr+$E94*dpsAgi+$G94*dpsCrit+$H94*dpsHit+$F94*dpsAP+$I94*dpsHaste+$J94*dpsArmor+$K94*dpsExp</f>
        <v>4.3154373358029261</v>
      </c>
      <c r="S94" s="278" t="s">
        <v>674</v>
      </c>
      <c r="T94" s="278"/>
      <c r="U94" s="323" t="s">
        <v>799</v>
      </c>
      <c r="V94" s="278"/>
      <c r="W94" s="870">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23</v>
      </c>
      <c r="X94" s="279">
        <f>SUMPRODUCT(('Gear &amp; Buffs'!$B$10:$B$71=A94)*('Gear &amp; Buffs'!$C$10:$C$71=TRUE))</f>
        <v>0</v>
      </c>
      <c r="Y94" s="281" t="b">
        <f t="shared" si="6"/>
        <v>0</v>
      </c>
      <c r="Z94" s="6" t="b">
        <v>0</v>
      </c>
      <c r="AA94" s="738">
        <v>91</v>
      </c>
      <c r="AB94" s="714" t="str">
        <f t="shared" si="5"/>
        <v/>
      </c>
    </row>
    <row r="95" spans="1:28">
      <c r="A95" s="277" t="s">
        <v>1682</v>
      </c>
      <c r="B95" s="278">
        <v>28363</v>
      </c>
      <c r="C95" s="278">
        <v>1</v>
      </c>
      <c r="D95" s="278"/>
      <c r="E95" s="278"/>
      <c r="F95" s="278">
        <v>10</v>
      </c>
      <c r="G95" s="278">
        <v>5</v>
      </c>
      <c r="H95" s="278"/>
      <c r="I95" s="278"/>
      <c r="J95" s="279"/>
      <c r="K95" s="278"/>
      <c r="L95" s="278"/>
      <c r="M95" s="278"/>
      <c r="N95" s="278"/>
      <c r="O95" s="278"/>
      <c r="P95" s="278"/>
      <c r="Q95" s="278" t="s">
        <v>1045</v>
      </c>
      <c r="R95" s="280">
        <f t="shared" si="7"/>
        <v>7.0022817860990472</v>
      </c>
      <c r="S95" s="278" t="s">
        <v>677</v>
      </c>
      <c r="T95" s="278" t="s">
        <v>728</v>
      </c>
      <c r="U95" s="261" t="s">
        <v>798</v>
      </c>
      <c r="V95" s="278"/>
      <c r="W95" s="870"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9">
        <f>SUMPRODUCT(('Gear &amp; Buffs'!$B$10:$B$71=A95)*('Gear &amp; Buffs'!$C$10:$C$71=TRUE))</f>
        <v>0</v>
      </c>
      <c r="Y95" s="281" t="b">
        <f t="shared" si="6"/>
        <v>0</v>
      </c>
      <c r="Z95" s="6" t="b">
        <v>0</v>
      </c>
      <c r="AA95" s="738">
        <v>92</v>
      </c>
      <c r="AB95" s="714" t="str">
        <f t="shared" si="5"/>
        <v/>
      </c>
    </row>
    <row r="96" spans="1:28">
      <c r="A96" s="277" t="s">
        <v>1683</v>
      </c>
      <c r="B96" s="278">
        <v>32217</v>
      </c>
      <c r="C96" s="278">
        <v>3</v>
      </c>
      <c r="D96" s="278">
        <v>5</v>
      </c>
      <c r="E96" s="278"/>
      <c r="F96" s="278"/>
      <c r="G96" s="278">
        <v>5</v>
      </c>
      <c r="H96" s="278"/>
      <c r="I96" s="278"/>
      <c r="J96" s="279"/>
      <c r="K96" s="278"/>
      <c r="L96" s="278"/>
      <c r="M96" s="278"/>
      <c r="N96" s="278"/>
      <c r="O96" s="278"/>
      <c r="P96" s="278"/>
      <c r="Q96" s="278" t="s">
        <v>1045</v>
      </c>
      <c r="R96" s="280">
        <f t="shared" si="7"/>
        <v>5.3942966697536576</v>
      </c>
      <c r="S96" s="278" t="s">
        <v>674</v>
      </c>
      <c r="T96" s="278"/>
      <c r="U96" s="261" t="s">
        <v>798</v>
      </c>
      <c r="V96" s="278"/>
      <c r="W96" s="870"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9">
        <f>SUMPRODUCT(('Gear &amp; Buffs'!$B$10:$B$71=A96)*('Gear &amp; Buffs'!$C$10:$C$71=TRUE))</f>
        <v>0</v>
      </c>
      <c r="Y96" s="281" t="b">
        <f t="shared" si="6"/>
        <v>0</v>
      </c>
      <c r="Z96" s="6" t="b">
        <v>0</v>
      </c>
      <c r="AA96" s="738">
        <v>93</v>
      </c>
      <c r="AB96" s="714" t="str">
        <f t="shared" si="5"/>
        <v/>
      </c>
    </row>
    <row r="97" spans="1:28">
      <c r="A97" s="277" t="s">
        <v>1684</v>
      </c>
      <c r="B97" s="278">
        <v>30575</v>
      </c>
      <c r="C97" s="278">
        <v>1</v>
      </c>
      <c r="D97" s="278"/>
      <c r="E97" s="278"/>
      <c r="F97" s="278"/>
      <c r="G97" s="278"/>
      <c r="H97" s="278">
        <v>4</v>
      </c>
      <c r="I97" s="278"/>
      <c r="J97" s="279"/>
      <c r="K97" s="278"/>
      <c r="L97" s="278"/>
      <c r="M97" s="278">
        <v>5</v>
      </c>
      <c r="N97" s="278"/>
      <c r="O97" s="278"/>
      <c r="P97" s="278"/>
      <c r="Q97" s="278" t="s">
        <v>1045</v>
      </c>
      <c r="R97" s="280">
        <f t="shared" si="7"/>
        <v>22.200125868508621</v>
      </c>
      <c r="S97" s="278" t="s">
        <v>691</v>
      </c>
      <c r="T97" s="278"/>
      <c r="U97" s="261" t="s">
        <v>798</v>
      </c>
      <c r="V97" s="278"/>
      <c r="W97" s="870"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9">
        <f>SUMPRODUCT(('Gear &amp; Buffs'!$B$10:$B$71=A97)*('Gear &amp; Buffs'!$C$10:$C$71=TRUE))</f>
        <v>0</v>
      </c>
      <c r="Y97" s="281" t="b">
        <f t="shared" si="6"/>
        <v>0</v>
      </c>
      <c r="Z97" s="6" t="b">
        <v>0</v>
      </c>
      <c r="AA97" s="738">
        <v>94</v>
      </c>
      <c r="AB97" s="714" t="str">
        <f t="shared" si="5"/>
        <v/>
      </c>
    </row>
    <row r="98" spans="1:28">
      <c r="A98" s="277" t="s">
        <v>1685</v>
      </c>
      <c r="B98" s="278">
        <v>30553</v>
      </c>
      <c r="C98" s="278">
        <v>1</v>
      </c>
      <c r="D98" s="278"/>
      <c r="E98" s="278"/>
      <c r="F98" s="278">
        <v>10</v>
      </c>
      <c r="G98" s="278"/>
      <c r="H98" s="278">
        <v>4</v>
      </c>
      <c r="I98" s="278"/>
      <c r="J98" s="279"/>
      <c r="K98" s="278"/>
      <c r="L98" s="278"/>
      <c r="M98" s="278"/>
      <c r="N98" s="278"/>
      <c r="O98" s="278"/>
      <c r="P98" s="278"/>
      <c r="Q98" s="278" t="s">
        <v>1045</v>
      </c>
      <c r="R98" s="280">
        <f t="shared" si="7"/>
        <v>25.773426127060247</v>
      </c>
      <c r="S98" s="278" t="s">
        <v>691</v>
      </c>
      <c r="T98" s="278"/>
      <c r="U98" s="261" t="s">
        <v>798</v>
      </c>
      <c r="V98" s="278"/>
      <c r="W98" s="870"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9">
        <f>SUMPRODUCT(('Gear &amp; Buffs'!$B$10:$B$71=A98)*('Gear &amp; Buffs'!$C$10:$C$71=TRUE))</f>
        <v>0</v>
      </c>
      <c r="Y98" s="281" t="b">
        <f t="shared" si="6"/>
        <v>0</v>
      </c>
      <c r="Z98" s="6" t="b">
        <v>0</v>
      </c>
      <c r="AA98" s="738">
        <v>95</v>
      </c>
      <c r="AB98" s="714" t="str">
        <f t="shared" si="5"/>
        <v/>
      </c>
    </row>
    <row r="99" spans="1:28">
      <c r="A99" s="277" t="s">
        <v>1259</v>
      </c>
      <c r="B99" s="278">
        <v>30604</v>
      </c>
      <c r="C99" s="278">
        <v>1</v>
      </c>
      <c r="D99" s="278">
        <v>5</v>
      </c>
      <c r="E99" s="278"/>
      <c r="F99" s="278"/>
      <c r="G99" s="278"/>
      <c r="H99" s="278"/>
      <c r="I99" s="278"/>
      <c r="J99" s="279"/>
      <c r="K99" s="278"/>
      <c r="L99" s="278"/>
      <c r="M99" s="278"/>
      <c r="N99" s="278">
        <v>4</v>
      </c>
      <c r="O99" s="278"/>
      <c r="P99" s="278"/>
      <c r="Q99" s="278" t="s">
        <v>1045</v>
      </c>
      <c r="R99" s="280">
        <f t="shared" si="7"/>
        <v>1.9653151422062365</v>
      </c>
      <c r="S99" s="278" t="s">
        <v>691</v>
      </c>
      <c r="T99" s="278"/>
      <c r="U99" s="261" t="s">
        <v>798</v>
      </c>
      <c r="V99" s="278"/>
      <c r="W99" s="870"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9">
        <f>SUMPRODUCT(('Gear &amp; Buffs'!$B$10:$B$71=A99)*('Gear &amp; Buffs'!$C$10:$C$71=TRUE))</f>
        <v>0</v>
      </c>
      <c r="Y99" s="281" t="b">
        <f t="shared" si="6"/>
        <v>0</v>
      </c>
      <c r="Z99" s="6" t="b">
        <v>0</v>
      </c>
      <c r="AA99" s="738">
        <v>96</v>
      </c>
      <c r="AB99" s="714" t="str">
        <f t="shared" si="5"/>
        <v/>
      </c>
    </row>
    <row r="100" spans="1:28">
      <c r="A100" s="277" t="s">
        <v>1552</v>
      </c>
      <c r="B100" s="278">
        <v>30607</v>
      </c>
      <c r="C100" s="278">
        <v>1</v>
      </c>
      <c r="D100" s="278"/>
      <c r="E100" s="278"/>
      <c r="F100" s="278"/>
      <c r="G100" s="278"/>
      <c r="H100" s="278"/>
      <c r="I100" s="278"/>
      <c r="J100" s="279"/>
      <c r="K100" s="278"/>
      <c r="L100" s="278"/>
      <c r="M100" s="278"/>
      <c r="N100" s="278">
        <v>4</v>
      </c>
      <c r="O100" s="278"/>
      <c r="P100" s="278"/>
      <c r="Q100" s="278" t="s">
        <v>1045</v>
      </c>
      <c r="R100" s="280">
        <f t="shared" si="7"/>
        <v>0</v>
      </c>
      <c r="S100" s="278" t="s">
        <v>691</v>
      </c>
      <c r="T100" s="278"/>
      <c r="U100" s="261" t="s">
        <v>798</v>
      </c>
      <c r="V100" s="278">
        <v>5</v>
      </c>
      <c r="W100" s="870"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9">
        <f>SUMPRODUCT(('Gear &amp; Buffs'!$B$10:$B$71=A100)*('Gear &amp; Buffs'!$C$10:$C$71=TRUE))</f>
        <v>0</v>
      </c>
      <c r="Y100" s="281" t="b">
        <f t="shared" si="6"/>
        <v>0</v>
      </c>
      <c r="Z100" s="6" t="b">
        <v>1</v>
      </c>
      <c r="AA100" s="738">
        <v>97</v>
      </c>
      <c r="AB100" s="714" t="str">
        <f t="shared" si="5"/>
        <v/>
      </c>
    </row>
    <row r="101" spans="1:28">
      <c r="A101" s="277" t="s">
        <v>1553</v>
      </c>
      <c r="B101" s="278">
        <v>30554</v>
      </c>
      <c r="C101" s="278">
        <v>1</v>
      </c>
      <c r="D101" s="278"/>
      <c r="E101" s="278"/>
      <c r="F101" s="278"/>
      <c r="G101" s="278"/>
      <c r="H101" s="278"/>
      <c r="I101" s="278"/>
      <c r="J101" s="279"/>
      <c r="K101" s="278"/>
      <c r="L101" s="278"/>
      <c r="M101" s="278">
        <v>4</v>
      </c>
      <c r="N101" s="278"/>
      <c r="O101" s="278">
        <v>5</v>
      </c>
      <c r="P101" s="278"/>
      <c r="Q101" s="278" t="s">
        <v>1045</v>
      </c>
      <c r="R101" s="280">
        <f t="shared" si="7"/>
        <v>0</v>
      </c>
      <c r="S101" s="278" t="s">
        <v>691</v>
      </c>
      <c r="T101" s="278"/>
      <c r="U101" s="261" t="s">
        <v>798</v>
      </c>
      <c r="V101" s="278"/>
      <c r="W101" s="870"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9">
        <f>SUMPRODUCT(('Gear &amp; Buffs'!$B$10:$B$71=A101)*('Gear &amp; Buffs'!$C$10:$C$71=TRUE))</f>
        <v>0</v>
      </c>
      <c r="Y101" s="281" t="b">
        <f t="shared" si="6"/>
        <v>0</v>
      </c>
      <c r="Z101" s="6" t="b">
        <v>1</v>
      </c>
      <c r="AA101" s="738">
        <v>98</v>
      </c>
      <c r="AB101" s="714" t="str">
        <f t="shared" si="5"/>
        <v/>
      </c>
    </row>
    <row r="102" spans="1:28">
      <c r="A102" s="277" t="s">
        <v>1501</v>
      </c>
      <c r="B102" s="278">
        <v>32637</v>
      </c>
      <c r="C102" s="278">
        <v>3</v>
      </c>
      <c r="D102" s="278"/>
      <c r="E102" s="278"/>
      <c r="F102" s="278">
        <v>8</v>
      </c>
      <c r="G102" s="278">
        <v>4</v>
      </c>
      <c r="H102" s="278"/>
      <c r="I102" s="278"/>
      <c r="J102" s="279"/>
      <c r="K102" s="278"/>
      <c r="L102" s="278"/>
      <c r="M102" s="278"/>
      <c r="N102" s="278"/>
      <c r="O102" s="278"/>
      <c r="P102" s="278"/>
      <c r="Q102" s="278" t="s">
        <v>1045</v>
      </c>
      <c r="R102" s="280">
        <f t="shared" si="7"/>
        <v>5.6018254288792377</v>
      </c>
      <c r="S102" s="278" t="s">
        <v>675</v>
      </c>
      <c r="T102" s="278" t="s">
        <v>728</v>
      </c>
      <c r="U102" s="323" t="s">
        <v>799</v>
      </c>
      <c r="V102" s="278"/>
      <c r="W102" s="870"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9">
        <f>SUMPRODUCT(('Gear &amp; Buffs'!$B$10:$B$71=A102)*('Gear &amp; Buffs'!$C$10:$C$71=TRUE))</f>
        <v>0</v>
      </c>
      <c r="Y102" s="281" t="b">
        <f t="shared" si="6"/>
        <v>0</v>
      </c>
      <c r="Z102" s="6" t="b">
        <v>0</v>
      </c>
      <c r="AA102" s="738">
        <v>99</v>
      </c>
      <c r="AB102" s="714" t="str">
        <f t="shared" si="5"/>
        <v/>
      </c>
    </row>
    <row r="103" spans="1:28">
      <c r="A103" s="277" t="s">
        <v>1502</v>
      </c>
      <c r="B103" s="278">
        <v>31869</v>
      </c>
      <c r="C103" s="278">
        <v>3</v>
      </c>
      <c r="D103" s="278"/>
      <c r="E103" s="278"/>
      <c r="F103" s="278">
        <v>6</v>
      </c>
      <c r="G103" s="278">
        <v>3</v>
      </c>
      <c r="H103" s="278"/>
      <c r="I103" s="278"/>
      <c r="J103" s="279"/>
      <c r="K103" s="278"/>
      <c r="L103" s="278"/>
      <c r="M103" s="278"/>
      <c r="N103" s="278"/>
      <c r="O103" s="278"/>
      <c r="P103" s="278"/>
      <c r="Q103" s="278" t="s">
        <v>1045</v>
      </c>
      <c r="R103" s="280">
        <f t="shared" si="7"/>
        <v>4.2013690716594283</v>
      </c>
      <c r="S103" s="278" t="s">
        <v>674</v>
      </c>
      <c r="T103" s="278"/>
      <c r="U103" s="324" t="s">
        <v>800</v>
      </c>
      <c r="V103" s="278"/>
      <c r="W103" s="870"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9">
        <f>SUMPRODUCT(('Gear &amp; Buffs'!$B$10:$B$71=A103)*('Gear &amp; Buffs'!$C$10:$C$71=TRUE))</f>
        <v>0</v>
      </c>
      <c r="Y103" s="281" t="b">
        <f t="shared" si="6"/>
        <v>0</v>
      </c>
      <c r="Z103" s="6" t="b">
        <v>0</v>
      </c>
      <c r="AA103" s="738">
        <v>100</v>
      </c>
      <c r="AB103" s="714" t="str">
        <f t="shared" si="5"/>
        <v/>
      </c>
    </row>
    <row r="104" spans="1:28">
      <c r="A104" s="277" t="s">
        <v>2072</v>
      </c>
      <c r="B104" s="278">
        <v>31868</v>
      </c>
      <c r="C104" s="278">
        <v>3</v>
      </c>
      <c r="D104" s="278"/>
      <c r="E104" s="278"/>
      <c r="F104" s="278">
        <v>8</v>
      </c>
      <c r="G104" s="278">
        <v>4</v>
      </c>
      <c r="H104" s="278"/>
      <c r="I104" s="278"/>
      <c r="J104" s="279"/>
      <c r="K104" s="278"/>
      <c r="L104" s="278"/>
      <c r="M104" s="278"/>
      <c r="N104" s="278"/>
      <c r="O104" s="278"/>
      <c r="P104" s="278"/>
      <c r="Q104" s="278" t="s">
        <v>1045</v>
      </c>
      <c r="R104" s="280">
        <f t="shared" si="7"/>
        <v>5.6018254288792377</v>
      </c>
      <c r="S104" s="278" t="s">
        <v>674</v>
      </c>
      <c r="T104" s="278"/>
      <c r="U104" s="323" t="s">
        <v>799</v>
      </c>
      <c r="V104" s="278"/>
      <c r="W104" s="870" t="str">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
      </c>
      <c r="X104" s="279">
        <f>SUMPRODUCT(('Gear &amp; Buffs'!$B$10:$B$71=A104)*('Gear &amp; Buffs'!$C$10:$C$71=TRUE))</f>
        <v>0</v>
      </c>
      <c r="Y104" s="281" t="b">
        <f t="shared" si="6"/>
        <v>0</v>
      </c>
      <c r="Z104" s="6" t="b">
        <v>0</v>
      </c>
      <c r="AA104" s="738">
        <v>101</v>
      </c>
      <c r="AB104" s="714" t="str">
        <f t="shared" si="5"/>
        <v/>
      </c>
    </row>
    <row r="105" spans="1:28">
      <c r="A105" s="277" t="s">
        <v>2073</v>
      </c>
      <c r="B105" s="278">
        <v>32222</v>
      </c>
      <c r="C105" s="278">
        <v>3</v>
      </c>
      <c r="D105" s="278"/>
      <c r="E105" s="278"/>
      <c r="F105" s="278">
        <v>10</v>
      </c>
      <c r="G105" s="278">
        <v>5</v>
      </c>
      <c r="H105" s="278"/>
      <c r="I105" s="278"/>
      <c r="J105" s="279"/>
      <c r="K105" s="278"/>
      <c r="L105" s="278"/>
      <c r="M105" s="278"/>
      <c r="N105" s="278"/>
      <c r="O105" s="278"/>
      <c r="P105" s="278"/>
      <c r="Q105" s="278" t="s">
        <v>1045</v>
      </c>
      <c r="R105" s="280">
        <f t="shared" si="7"/>
        <v>7.0022817860990472</v>
      </c>
      <c r="S105" s="278" t="s">
        <v>674</v>
      </c>
      <c r="T105" s="278"/>
      <c r="U105" s="261" t="s">
        <v>798</v>
      </c>
      <c r="V105" s="278"/>
      <c r="W105" s="870"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9">
        <f>SUMPRODUCT(('Gear &amp; Buffs'!$B$10:$B$71=A105)*('Gear &amp; Buffs'!$C$10:$C$71=TRUE))</f>
        <v>0</v>
      </c>
      <c r="Y105" s="281" t="b">
        <f t="shared" si="6"/>
        <v>0</v>
      </c>
      <c r="Z105" s="6" t="b">
        <v>0</v>
      </c>
      <c r="AA105" s="738">
        <v>102</v>
      </c>
      <c r="AB105" s="714" t="str">
        <f t="shared" si="5"/>
        <v/>
      </c>
    </row>
    <row r="106" spans="1:28">
      <c r="Y106" s="120"/>
    </row>
    <row r="107" spans="1:28" ht="23.25" thickBot="1">
      <c r="A107" s="753" t="s">
        <v>2840</v>
      </c>
      <c r="B107" s="753" t="s">
        <v>1934</v>
      </c>
      <c r="C107" s="753" t="s">
        <v>2798</v>
      </c>
      <c r="D107" s="753" t="s">
        <v>1214</v>
      </c>
      <c r="E107" s="753" t="s">
        <v>1215</v>
      </c>
      <c r="F107" s="753" t="s">
        <v>768</v>
      </c>
      <c r="G107" s="753" t="s">
        <v>2140</v>
      </c>
      <c r="H107" s="753" t="s">
        <v>2139</v>
      </c>
      <c r="I107" s="753" t="s">
        <v>771</v>
      </c>
      <c r="J107" s="753" t="s">
        <v>770</v>
      </c>
      <c r="K107" s="753" t="s">
        <v>760</v>
      </c>
      <c r="L107" s="753" t="s">
        <v>1216</v>
      </c>
      <c r="M107" s="753" t="s">
        <v>264</v>
      </c>
      <c r="N107" s="753" t="s">
        <v>1217</v>
      </c>
      <c r="O107" s="753" t="s">
        <v>1287</v>
      </c>
      <c r="P107" s="753" t="s">
        <v>1046</v>
      </c>
      <c r="Q107" s="731" t="s">
        <v>1047</v>
      </c>
      <c r="R107" s="753" t="s">
        <v>265</v>
      </c>
      <c r="S107" s="753" t="s">
        <v>1344</v>
      </c>
      <c r="T107" s="780" t="s">
        <v>54</v>
      </c>
      <c r="U107" s="781" t="s">
        <v>56</v>
      </c>
      <c r="V107" s="782" t="s">
        <v>55</v>
      </c>
      <c r="W107" s="753">
        <v>0</v>
      </c>
      <c r="X107" s="753"/>
      <c r="Y107" s="753"/>
    </row>
    <row r="108" spans="1:28">
      <c r="A108" s="6" t="s">
        <v>2207</v>
      </c>
      <c r="B108" s="119"/>
      <c r="C108" s="119"/>
      <c r="D108" s="118"/>
      <c r="E108" s="118"/>
      <c r="F108" s="118"/>
      <c r="G108" s="118"/>
      <c r="H108" s="119"/>
      <c r="I108" s="119"/>
      <c r="K108" s="119"/>
      <c r="L108" s="118"/>
      <c r="M108" s="118"/>
      <c r="N108" s="118"/>
      <c r="O108" s="119"/>
      <c r="P108" s="119"/>
      <c r="Q108" s="168"/>
      <c r="R108" s="251">
        <f t="shared" ref="R108:R117" si="8">$D108*dpsStr+$E108*dpsAgi+$G108*dpsCrit+$H108*dpsHit+$F108*dpsAP+$I108*dpsHaste+$J108*dpsArmor+$K108*dpsExp</f>
        <v>0</v>
      </c>
      <c r="S108" s="120" t="b">
        <f>TRUE</f>
        <v>1</v>
      </c>
      <c r="T108" s="254">
        <f>'Gear &amp; Buffs'!R73+'Gear &amp; Buffs'!S73</f>
        <v>4</v>
      </c>
      <c r="U108" s="264">
        <f>'Gear &amp; Buffs'!R74+'Gear &amp; Buffs'!S74</f>
        <v>2</v>
      </c>
      <c r="V108" s="783">
        <f>'Gear &amp; Buffs'!R75+'Gear &amp; Buffs'!S75</f>
        <v>12</v>
      </c>
      <c r="X108" s="738"/>
      <c r="Y108" s="714" t="s">
        <v>1689</v>
      </c>
      <c r="Z108" s="6" t="s">
        <v>1924</v>
      </c>
    </row>
    <row r="109" spans="1:28">
      <c r="B109" s="119"/>
      <c r="C109" s="119"/>
      <c r="D109" s="118"/>
      <c r="E109" s="118"/>
      <c r="F109" s="118"/>
      <c r="G109" s="118"/>
      <c r="H109" s="119"/>
      <c r="I109" s="119"/>
      <c r="K109" s="119"/>
      <c r="L109" s="118"/>
      <c r="M109" s="118"/>
      <c r="N109" s="118"/>
      <c r="O109" s="119"/>
      <c r="P109" s="119"/>
      <c r="Q109" s="168"/>
      <c r="R109" s="251"/>
      <c r="T109" s="129"/>
      <c r="U109" s="129"/>
      <c r="V109" s="784"/>
      <c r="X109" s="738"/>
      <c r="Y109" s="714"/>
    </row>
    <row r="110" spans="1:28">
      <c r="A110" s="6" t="s">
        <v>1668</v>
      </c>
      <c r="B110" s="120">
        <v>25899</v>
      </c>
      <c r="C110" s="120">
        <v>1</v>
      </c>
      <c r="H110" s="121"/>
      <c r="R110" s="251">
        <f t="shared" si="8"/>
        <v>0</v>
      </c>
      <c r="S110" s="120" t="b">
        <f>IF('Gear &amp; Buffs'!Y43=TRUE,IF(AND(T108&gt;=2,U108&gt;=2,V108&gt;=2),TRUE,FALSE),TRUE)</f>
        <v>1</v>
      </c>
      <c r="V110" s="785"/>
      <c r="W110" s="129">
        <f>IF(AND(OR(IF(includep1,$C110&lt;=1), IF(includep2,$C110&lt;=2), IF(includep3,$C110&lt;=3), IF(includep4,$C110&lt;=107), IF(includep5,$C110&lt;=5))),MAX($W$107:$W108)+1,"")</f>
        <v>1</v>
      </c>
      <c r="X110" s="738">
        <v>1</v>
      </c>
      <c r="Y110" s="714" t="str">
        <f>IF(ISNA(INDEX($A$110:$A$117,MATCH(X110,W$110:W$117,0))), "", INDEX($A$110:$A$117,MATCH(X110,W$110:W$117,0)))</f>
        <v>Brutal Earthstorm Diamond (3dam/stun)</v>
      </c>
      <c r="Z110" s="6" t="s">
        <v>1924</v>
      </c>
    </row>
    <row r="111" spans="1:28">
      <c r="A111" s="6" t="s">
        <v>1669</v>
      </c>
      <c r="B111" s="120">
        <v>25895</v>
      </c>
      <c r="C111" s="120">
        <v>1</v>
      </c>
      <c r="G111" s="120">
        <f>IF(S111,12,0)</f>
        <v>0</v>
      </c>
      <c r="H111" s="121"/>
      <c r="R111" s="251">
        <f t="shared" si="8"/>
        <v>0</v>
      </c>
      <c r="S111" s="120" t="b">
        <f>IF('Gear &amp; Buffs'!Y43=TRUE,IF(T108&gt;V108,TRUE,FALSE),TRUE)</f>
        <v>0</v>
      </c>
      <c r="V111" s="785"/>
      <c r="W111" s="129">
        <f>IF(AND(OR(IF(includep1,$C111&lt;=1), IF(includep2,$C111&lt;=2), IF(includep3,$C111&lt;=3), IF(includep4,$C111&lt;=107), IF(includep5,$C111&lt;=5))),MAX($W$107:$W110)+1,"")</f>
        <v>2</v>
      </c>
      <c r="X111" s="738">
        <v>2</v>
      </c>
      <c r="Y111" s="714" t="str">
        <f t="shared" ref="Y111:Y117" si="9">IF(ISNA(INDEX($A$110:$A$117,MATCH(X111,W$110:W$117,0))), "", INDEX($A$110:$A$117,MATCH(X111,W$110:W$117,0)))</f>
        <v>Enigmatic Skyfire Diamond (12crit/5%root resi)</v>
      </c>
      <c r="Z111" s="6" t="s">
        <v>1924</v>
      </c>
    </row>
    <row r="112" spans="1:28">
      <c r="A112" s="337" t="s">
        <v>1503</v>
      </c>
      <c r="B112" s="120">
        <v>32640</v>
      </c>
      <c r="C112" s="120">
        <v>3</v>
      </c>
      <c r="F112" s="120">
        <v>24</v>
      </c>
      <c r="H112" s="121"/>
      <c r="R112" s="251">
        <f t="shared" si="8"/>
        <v>8.5759206205239025</v>
      </c>
      <c r="S112" s="120" t="b">
        <f>IF('Gear &amp; Buffs'!Y43=TRUE,IF(U108&gt;V108,TRUE,FALSE),TRUE)</f>
        <v>0</v>
      </c>
      <c r="V112" s="785"/>
      <c r="W112" s="129" t="str">
        <f>IF(AND(OR(IF(includep1,$C112&lt;=1), IF(includep2,$C112&lt;=2), IF(includep3,$C112&lt;=3), IF(includep4,$C112&lt;=107), IF(includep5,$C112&lt;=5))),MAX($W$107:$W111)+1,"")</f>
        <v/>
      </c>
      <c r="X112" s="738">
        <v>3</v>
      </c>
      <c r="Y112" s="714" t="str">
        <f t="shared" si="9"/>
        <v>Powerful Earthstorm Diamond (18sta/5%stun resi)</v>
      </c>
      <c r="Z112" s="6" t="s">
        <v>1924</v>
      </c>
    </row>
    <row r="113" spans="1:26">
      <c r="A113" s="6" t="s">
        <v>291</v>
      </c>
      <c r="B113" s="120">
        <v>25896</v>
      </c>
      <c r="C113" s="120">
        <v>1</v>
      </c>
      <c r="H113" s="121"/>
      <c r="L113" s="120">
        <f>IF(S113,18,0)</f>
        <v>0</v>
      </c>
      <c r="R113" s="251">
        <f t="shared" si="8"/>
        <v>0</v>
      </c>
      <c r="S113" s="120" t="b">
        <f>IF('Gear &amp; Buffs'!Y43=TRUE,IF(AND(T108&gt;=0,U108&gt;=3,V108&gt;=0),TRUE,FALSE),TRUE)</f>
        <v>0</v>
      </c>
      <c r="V113" s="785"/>
      <c r="W113" s="129">
        <f>IF(AND(OR(IF(includep1,$C113&lt;=1), IF(includep2,$C113&lt;=2), IF(includep3,$C113&lt;=3), IF(includep4,$C113&lt;=107), IF(includep5,$C113&lt;=5))),MAX($W$107:$W112)+1,"")</f>
        <v>3</v>
      </c>
      <c r="X113" s="738">
        <v>4</v>
      </c>
      <c r="Y113" s="714" t="str">
        <f t="shared" si="9"/>
        <v>Relentless Earthstorm Diamond (12agi/3%crit dam)</v>
      </c>
      <c r="Z113" s="6" t="s">
        <v>1924</v>
      </c>
    </row>
    <row r="114" spans="1:26">
      <c r="A114" s="6" t="s">
        <v>292</v>
      </c>
      <c r="B114" s="120">
        <v>32409</v>
      </c>
      <c r="C114" s="120">
        <v>1</v>
      </c>
      <c r="E114" s="120">
        <f>IF(S114,12,0)</f>
        <v>12</v>
      </c>
      <c r="H114" s="121"/>
      <c r="R114" s="251">
        <f t="shared" si="8"/>
        <v>9.9265544320196568</v>
      </c>
      <c r="S114" s="120" t="b">
        <f>IF('Gear &amp; Buffs'!Y43=TRUE,IF(AND(T108&gt;=2,U108&gt;=2,V108&gt;=2),TRUE,FALSE),TRUE)</f>
        <v>1</v>
      </c>
      <c r="V114" s="785"/>
      <c r="W114" s="129">
        <f>IF(AND(OR(IF(includep1,$C114&lt;=1), IF(includep2,$C114&lt;=2), IF(includep3,$C114&lt;=3), IF(includep4,$C114&lt;=107), IF(includep5,$C114&lt;=5))),MAX($W$107:$W113)+1,"")</f>
        <v>4</v>
      </c>
      <c r="X114" s="738">
        <v>5</v>
      </c>
      <c r="Y114" s="714" t="str">
        <f t="shared" si="9"/>
        <v>Swift Skyfire Diamond (24ap/minor speed)</v>
      </c>
      <c r="Z114" s="6" t="s">
        <v>1924</v>
      </c>
    </row>
    <row r="115" spans="1:26">
      <c r="A115" s="6" t="s">
        <v>293</v>
      </c>
      <c r="B115" s="120">
        <v>25894</v>
      </c>
      <c r="C115" s="120">
        <v>1</v>
      </c>
      <c r="F115" s="120">
        <f>IF(S115,24,0)</f>
        <v>24</v>
      </c>
      <c r="R115" s="251">
        <f t="shared" si="8"/>
        <v>8.5759206205239025</v>
      </c>
      <c r="S115" s="120" t="b">
        <f>IF('Gear &amp; Buffs'!Y43=TRUE,IF(AND(T108&gt;=1,U108&gt;=0,V108&gt;=2),TRUE,FALSE),TRUE)</f>
        <v>1</v>
      </c>
      <c r="V115" s="785"/>
      <c r="W115" s="129">
        <f>IF(AND(OR(IF(includep1,$C115&lt;=1), IF(includep2,$C115&lt;=2), IF(includep3,$C115&lt;=3), IF(includep4,$C115&lt;=107), IF(includep5,$C115&lt;=5))),MAX($W$107:$W114)+1,"")</f>
        <v>5</v>
      </c>
      <c r="X115" s="738">
        <v>6</v>
      </c>
      <c r="Y115" s="714" t="str">
        <f t="shared" si="9"/>
        <v>Swift Windfire Diamond (20ap/minor speed)</v>
      </c>
      <c r="Z115" s="6" t="s">
        <v>1924</v>
      </c>
    </row>
    <row r="116" spans="1:26">
      <c r="A116" s="6" t="s">
        <v>294</v>
      </c>
      <c r="B116" s="120">
        <v>28556</v>
      </c>
      <c r="C116" s="120">
        <v>1</v>
      </c>
      <c r="F116" s="120">
        <f>IF(S116,20,0)</f>
        <v>20</v>
      </c>
      <c r="H116" s="121"/>
      <c r="R116" s="251">
        <f t="shared" si="8"/>
        <v>7.1466005171032521</v>
      </c>
      <c r="S116" s="120" t="b">
        <f>IF('Gear &amp; Buffs'!Y43=TRUE,IF(AND(T108&gt;=1,U108&gt;=0,V108&gt;=2),TRUE,FALSE),TRUE)</f>
        <v>1</v>
      </c>
      <c r="V116" s="785"/>
      <c r="W116" s="129">
        <f>IF(AND(OR(IF(includep1,$C116&lt;=1), IF(includep2,$C116&lt;=2), IF(includep3,$C116&lt;=3), IF(includep4,$C116&lt;=107), IF(includep5,$C116&lt;=5))),MAX($W$107:$W115)+1,"")</f>
        <v>6</v>
      </c>
      <c r="X116" s="738">
        <v>7</v>
      </c>
      <c r="Y116" s="714" t="str">
        <f t="shared" si="9"/>
        <v>Thundering Skyfire Diamond (haste)</v>
      </c>
      <c r="Z116" s="6" t="s">
        <v>1924</v>
      </c>
    </row>
    <row r="117" spans="1:26">
      <c r="A117" s="6" t="s">
        <v>295</v>
      </c>
      <c r="B117" s="120">
        <v>32410</v>
      </c>
      <c r="C117" s="120">
        <v>1</v>
      </c>
      <c r="H117" s="121"/>
      <c r="I117" s="120">
        <f>IF(S117,240*itTSDup,0)</f>
        <v>27.536636673910554</v>
      </c>
      <c r="R117" s="251">
        <f t="shared" si="8"/>
        <v>101.09758764853754</v>
      </c>
      <c r="S117" s="120" t="b">
        <f>IF('Gear &amp; Buffs'!Y43=TRUE,IF(AND(T108&gt;=2,U108&gt;=2,V108&gt;=2),TRUE,FALSE),TRUE)</f>
        <v>1</v>
      </c>
      <c r="V117" s="785"/>
      <c r="W117" s="129">
        <f>IF(AND(OR(IF(includep1,$C117&lt;=1), IF(includep2,$C117&lt;=2), IF(includep3,$C117&lt;=3), IF(includep4,$C117&lt;=107), IF(includep5,$C117&lt;=5))),MAX($W$107:$W116)+1,"")</f>
        <v>7</v>
      </c>
      <c r="X117" s="738">
        <v>8</v>
      </c>
      <c r="Y117" s="714" t="str">
        <f t="shared" si="9"/>
        <v/>
      </c>
      <c r="Z117" s="6" t="s">
        <v>1924</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C4" sqref="AC4"/>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29" s="211" customFormat="1" ht="12"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1"/>
      <c r="U1" s="701"/>
      <c r="V1" s="701"/>
      <c r="W1" s="701" t="s">
        <v>568</v>
      </c>
      <c r="X1" s="706" t="s">
        <v>569</v>
      </c>
      <c r="Y1" s="702" t="s">
        <v>265</v>
      </c>
      <c r="Z1" s="703" t="s">
        <v>1474</v>
      </c>
      <c r="AA1" s="702">
        <v>0</v>
      </c>
      <c r="AB1" s="702"/>
      <c r="AC1" s="704" t="s">
        <v>461</v>
      </c>
    </row>
    <row r="2" spans="1:29">
      <c r="A2" s="695" t="s">
        <v>2334</v>
      </c>
      <c r="B2" s="696">
        <v>22478</v>
      </c>
      <c r="C2" s="696">
        <v>1</v>
      </c>
      <c r="D2" s="696">
        <v>18</v>
      </c>
      <c r="E2" s="696">
        <v>30</v>
      </c>
      <c r="F2" s="696"/>
      <c r="G2" s="697">
        <v>28</v>
      </c>
      <c r="H2" s="697">
        <v>10</v>
      </c>
      <c r="I2" s="696"/>
      <c r="J2" s="696"/>
      <c r="K2" s="696"/>
      <c r="L2" s="696">
        <v>29</v>
      </c>
      <c r="M2" s="697"/>
      <c r="N2" s="697"/>
      <c r="O2" s="696"/>
      <c r="P2" s="696" t="s">
        <v>2335</v>
      </c>
      <c r="Q2" s="696" t="s">
        <v>1048</v>
      </c>
      <c r="R2" s="696"/>
      <c r="S2" s="696" t="s">
        <v>668</v>
      </c>
      <c r="T2" s="47"/>
      <c r="U2" s="47"/>
      <c r="V2" s="47"/>
      <c r="W2" s="47" t="s">
        <v>191</v>
      </c>
      <c r="X2" s="696">
        <v>88</v>
      </c>
      <c r="Y2" s="891">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8">
        <v>475</v>
      </c>
      <c r="AA2" s="221">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7"/>
      <c r="AC2" s="713" t="s">
        <v>1689</v>
      </c>
    </row>
    <row r="3" spans="1:29">
      <c r="A3" s="677" t="s">
        <v>1484</v>
      </c>
      <c r="B3" s="678">
        <v>35033</v>
      </c>
      <c r="C3" s="678">
        <v>5</v>
      </c>
      <c r="D3" s="678"/>
      <c r="E3" s="678">
        <v>36</v>
      </c>
      <c r="F3" s="678">
        <v>62</v>
      </c>
      <c r="G3" s="679">
        <v>26</v>
      </c>
      <c r="H3" s="679">
        <v>17</v>
      </c>
      <c r="I3" s="678"/>
      <c r="J3" s="678">
        <v>84</v>
      </c>
      <c r="K3" s="678"/>
      <c r="L3" s="678">
        <v>72</v>
      </c>
      <c r="M3" s="679"/>
      <c r="N3" s="679">
        <v>25</v>
      </c>
      <c r="O3" s="678"/>
      <c r="P3" s="678" t="s">
        <v>1068</v>
      </c>
      <c r="Q3" s="678" t="s">
        <v>1064</v>
      </c>
      <c r="R3" s="678" t="s">
        <v>1069</v>
      </c>
      <c r="S3" s="678" t="s">
        <v>677</v>
      </c>
      <c r="T3" s="47"/>
      <c r="U3" s="47"/>
      <c r="V3" s="47"/>
      <c r="W3" s="47" t="s">
        <v>191</v>
      </c>
      <c r="X3" s="678">
        <v>159</v>
      </c>
      <c r="Y3" s="890">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80">
        <v>475</v>
      </c>
      <c r="AA3" s="221"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8"/>
      <c r="AC3" s="714" t="str">
        <f>" "</f>
        <v xml:space="preserve"> </v>
      </c>
    </row>
    <row r="4" spans="1:29">
      <c r="A4" s="677" t="s">
        <v>1049</v>
      </c>
      <c r="B4" s="679">
        <v>29502</v>
      </c>
      <c r="C4" s="679">
        <v>1</v>
      </c>
      <c r="D4" s="678"/>
      <c r="E4" s="678">
        <v>37</v>
      </c>
      <c r="F4" s="678">
        <v>74</v>
      </c>
      <c r="G4" s="679"/>
      <c r="H4" s="679">
        <v>18</v>
      </c>
      <c r="I4" s="679"/>
      <c r="J4" s="678"/>
      <c r="K4" s="679"/>
      <c r="L4" s="678">
        <v>42</v>
      </c>
      <c r="M4" s="679"/>
      <c r="N4" s="679"/>
      <c r="O4" s="679"/>
      <c r="P4" s="688"/>
      <c r="Q4" s="678" t="s">
        <v>1048</v>
      </c>
      <c r="R4" s="678"/>
      <c r="S4" s="678" t="s">
        <v>685</v>
      </c>
      <c r="T4" s="687"/>
      <c r="U4" s="687"/>
      <c r="V4" s="687"/>
      <c r="W4" s="687" t="s">
        <v>191</v>
      </c>
      <c r="X4" s="679">
        <v>105</v>
      </c>
      <c r="Y4" s="890">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80">
        <v>271</v>
      </c>
      <c r="AA4" s="221">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8">
        <v>1</v>
      </c>
      <c r="AC4" s="714" t="str">
        <f t="shared" ref="AC4:AC31" si="0">IF(ISNA(INDEX($A$2:$A$29,MATCH(AB4,AA$2:AA$29,0))), "", INDEX($A$2:$A$29,MATCH(AB4,AA$2:AA$29,0)))</f>
        <v>Bonescythe Helmet</v>
      </c>
    </row>
    <row r="5" spans="1:29">
      <c r="A5" s="677" t="s">
        <v>1050</v>
      </c>
      <c r="B5" s="679">
        <v>28732</v>
      </c>
      <c r="C5" s="679">
        <v>1</v>
      </c>
      <c r="D5" s="678"/>
      <c r="E5" s="678">
        <v>34</v>
      </c>
      <c r="F5" s="678">
        <v>100</v>
      </c>
      <c r="G5" s="679"/>
      <c r="H5" s="679">
        <v>24</v>
      </c>
      <c r="I5" s="679"/>
      <c r="J5" s="678"/>
      <c r="K5" s="679"/>
      <c r="L5" s="678">
        <v>33</v>
      </c>
      <c r="M5" s="679"/>
      <c r="N5" s="679"/>
      <c r="O5" s="679"/>
      <c r="P5" s="688"/>
      <c r="Q5" s="678" t="s">
        <v>1048</v>
      </c>
      <c r="R5" s="678"/>
      <c r="S5" s="679" t="s">
        <v>672</v>
      </c>
      <c r="T5" s="689"/>
      <c r="U5" s="687"/>
      <c r="V5" s="687"/>
      <c r="W5" s="687" t="s">
        <v>191</v>
      </c>
      <c r="X5" s="679">
        <v>115</v>
      </c>
      <c r="Y5" s="890">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80">
        <v>296</v>
      </c>
      <c r="AA5" s="221">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8">
        <v>2</v>
      </c>
      <c r="AC5" s="714" t="str">
        <f t="shared" si="0"/>
        <v>Cobrascale Hood</v>
      </c>
    </row>
    <row r="6" spans="1:29">
      <c r="A6" s="677" t="s">
        <v>2249</v>
      </c>
      <c r="B6" s="679">
        <v>32235</v>
      </c>
      <c r="C6" s="679">
        <v>3</v>
      </c>
      <c r="D6" s="678"/>
      <c r="E6" s="678">
        <v>39</v>
      </c>
      <c r="F6" s="678">
        <v>108</v>
      </c>
      <c r="G6" s="679">
        <v>38</v>
      </c>
      <c r="H6" s="679">
        <v>21</v>
      </c>
      <c r="I6" s="679"/>
      <c r="J6" s="678"/>
      <c r="K6" s="679"/>
      <c r="L6" s="678">
        <v>46</v>
      </c>
      <c r="M6" s="679"/>
      <c r="N6" s="679"/>
      <c r="O6" s="679"/>
      <c r="P6" s="688"/>
      <c r="Q6" s="678" t="s">
        <v>1051</v>
      </c>
      <c r="R6" s="678" t="s">
        <v>1052</v>
      </c>
      <c r="S6" s="679" t="s">
        <v>683</v>
      </c>
      <c r="T6" s="687"/>
      <c r="U6" s="687"/>
      <c r="V6" s="687"/>
      <c r="W6" s="687" t="s">
        <v>191</v>
      </c>
      <c r="X6" s="679">
        <v>151</v>
      </c>
      <c r="Y6" s="890">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80">
        <v>385</v>
      </c>
      <c r="AA6" s="221"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8">
        <v>3</v>
      </c>
      <c r="AC6" s="714" t="str">
        <f t="shared" si="0"/>
        <v>Cowl of Defiance</v>
      </c>
    </row>
    <row r="7" spans="1:29">
      <c r="A7" s="677" t="s">
        <v>1053</v>
      </c>
      <c r="B7" s="679">
        <v>27415</v>
      </c>
      <c r="C7" s="679">
        <v>1</v>
      </c>
      <c r="D7" s="678"/>
      <c r="E7" s="678">
        <v>29</v>
      </c>
      <c r="F7" s="678">
        <v>60</v>
      </c>
      <c r="G7" s="679"/>
      <c r="H7" s="679">
        <v>20</v>
      </c>
      <c r="I7" s="679"/>
      <c r="J7" s="678"/>
      <c r="K7" s="679"/>
      <c r="L7" s="678">
        <v>30</v>
      </c>
      <c r="M7" s="679"/>
      <c r="N7" s="679"/>
      <c r="O7" s="679"/>
      <c r="P7" s="688"/>
      <c r="Q7" s="678" t="s">
        <v>1048</v>
      </c>
      <c r="R7" s="678"/>
      <c r="S7" s="678" t="s">
        <v>673</v>
      </c>
      <c r="T7" s="687"/>
      <c r="U7" s="687"/>
      <c r="V7" s="687"/>
      <c r="W7" s="687" t="s">
        <v>632</v>
      </c>
      <c r="X7" s="679">
        <v>100</v>
      </c>
      <c r="Y7" s="890">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80">
        <v>208</v>
      </c>
      <c r="AA7" s="221">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8">
        <v>4</v>
      </c>
      <c r="AC7" s="714" t="str">
        <f t="shared" si="0"/>
        <v>Darkguard Face Mask</v>
      </c>
    </row>
    <row r="8" spans="1:29" s="47" customFormat="1">
      <c r="A8" s="690" t="s">
        <v>1054</v>
      </c>
      <c r="B8" s="678">
        <v>32478</v>
      </c>
      <c r="C8" s="678">
        <v>2</v>
      </c>
      <c r="D8" s="678"/>
      <c r="E8" s="678">
        <v>48</v>
      </c>
      <c r="F8" s="678">
        <v>76</v>
      </c>
      <c r="G8" s="679"/>
      <c r="H8" s="679">
        <v>11</v>
      </c>
      <c r="I8" s="678"/>
      <c r="J8" s="678"/>
      <c r="K8" s="678"/>
      <c r="L8" s="678">
        <v>28</v>
      </c>
      <c r="M8" s="679"/>
      <c r="N8" s="679"/>
      <c r="O8" s="678"/>
      <c r="P8" s="678"/>
      <c r="Q8" s="678" t="s">
        <v>1055</v>
      </c>
      <c r="R8" s="678" t="s">
        <v>1056</v>
      </c>
      <c r="S8" s="678" t="s">
        <v>689</v>
      </c>
      <c r="T8" s="687"/>
      <c r="U8" s="687"/>
      <c r="V8" s="687"/>
      <c r="W8" s="687" t="s">
        <v>191</v>
      </c>
      <c r="X8" s="678">
        <v>127</v>
      </c>
      <c r="Y8" s="890">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80">
        <v>326</v>
      </c>
      <c r="AA8" s="221"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8">
        <v>5</v>
      </c>
      <c r="AC8" s="714" t="str">
        <f t="shared" si="0"/>
        <v>Gladiator's Leather Helm</v>
      </c>
    </row>
    <row r="9" spans="1:29">
      <c r="A9" s="677" t="s">
        <v>1057</v>
      </c>
      <c r="B9" s="678">
        <v>30146</v>
      </c>
      <c r="C9" s="678">
        <v>2</v>
      </c>
      <c r="D9" s="678"/>
      <c r="E9" s="678">
        <v>39</v>
      </c>
      <c r="F9" s="678">
        <v>78</v>
      </c>
      <c r="G9" s="679">
        <v>25</v>
      </c>
      <c r="H9" s="679"/>
      <c r="I9" s="678"/>
      <c r="J9" s="678"/>
      <c r="K9" s="678"/>
      <c r="L9" s="678">
        <v>48</v>
      </c>
      <c r="M9" s="679"/>
      <c r="N9" s="679"/>
      <c r="O9" s="678"/>
      <c r="P9" s="678" t="s">
        <v>1063</v>
      </c>
      <c r="Q9" s="678" t="s">
        <v>1064</v>
      </c>
      <c r="R9" s="678" t="s">
        <v>1065</v>
      </c>
      <c r="S9" s="678" t="s">
        <v>667</v>
      </c>
      <c r="T9" s="687"/>
      <c r="U9" s="687"/>
      <c r="V9" s="687"/>
      <c r="W9" s="687" t="s">
        <v>191</v>
      </c>
      <c r="X9" s="678">
        <v>133</v>
      </c>
      <c r="Y9" s="890">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80">
        <v>341</v>
      </c>
      <c r="AA9" s="221"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8">
        <v>6</v>
      </c>
      <c r="AC9" s="714" t="str">
        <f t="shared" si="0"/>
        <v>Helm of Assassination</v>
      </c>
    </row>
    <row r="10" spans="1:29">
      <c r="A10" s="677" t="s">
        <v>965</v>
      </c>
      <c r="B10" s="678">
        <v>34244</v>
      </c>
      <c r="C10" s="678">
        <v>5</v>
      </c>
      <c r="D10" s="678"/>
      <c r="E10" s="678">
        <v>43</v>
      </c>
      <c r="F10" s="678">
        <v>126</v>
      </c>
      <c r="G10" s="679"/>
      <c r="H10" s="679">
        <v>30</v>
      </c>
      <c r="I10" s="678">
        <v>34</v>
      </c>
      <c r="J10" s="678"/>
      <c r="K10" s="678"/>
      <c r="L10" s="678">
        <v>57</v>
      </c>
      <c r="M10" s="679"/>
      <c r="N10" s="679"/>
      <c r="O10" s="678"/>
      <c r="P10" s="678"/>
      <c r="Q10" s="678" t="s">
        <v>1064</v>
      </c>
      <c r="R10" s="678" t="s">
        <v>2020</v>
      </c>
      <c r="S10" s="678" t="s">
        <v>871</v>
      </c>
      <c r="T10" s="687"/>
      <c r="U10" s="687"/>
      <c r="V10" s="687"/>
      <c r="W10" s="687" t="s">
        <v>191</v>
      </c>
      <c r="X10" s="678">
        <v>164</v>
      </c>
      <c r="Y10" s="890">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80">
        <v>418</v>
      </c>
      <c r="AA10" s="221"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8">
        <v>7</v>
      </c>
      <c r="AC10" s="714" t="str">
        <f t="shared" si="0"/>
        <v>Helm of the Claw</v>
      </c>
    </row>
    <row r="11" spans="1:29" s="129" customFormat="1">
      <c r="A11" s="677" t="s">
        <v>1067</v>
      </c>
      <c r="B11" s="678">
        <v>25830</v>
      </c>
      <c r="C11" s="678">
        <v>1</v>
      </c>
      <c r="D11" s="678"/>
      <c r="E11" s="678">
        <v>34</v>
      </c>
      <c r="F11" s="678">
        <v>36</v>
      </c>
      <c r="G11" s="679">
        <v>13</v>
      </c>
      <c r="H11" s="679"/>
      <c r="I11" s="678"/>
      <c r="J11" s="678"/>
      <c r="K11" s="678"/>
      <c r="L11" s="678">
        <v>53</v>
      </c>
      <c r="M11" s="679"/>
      <c r="N11" s="679">
        <v>23</v>
      </c>
      <c r="O11" s="678"/>
      <c r="P11" s="678" t="s">
        <v>1068</v>
      </c>
      <c r="Q11" s="678" t="s">
        <v>1064</v>
      </c>
      <c r="R11" s="678" t="s">
        <v>1069</v>
      </c>
      <c r="S11" s="678" t="s">
        <v>677</v>
      </c>
      <c r="T11" s="687"/>
      <c r="U11" s="687"/>
      <c r="V11" s="687"/>
      <c r="W11" s="687" t="s">
        <v>191</v>
      </c>
      <c r="X11" s="678">
        <v>123</v>
      </c>
      <c r="Y11" s="890">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80">
        <v>316</v>
      </c>
      <c r="AA11" s="221">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8">
        <v>8</v>
      </c>
      <c r="AC11" s="714" t="str">
        <f t="shared" si="0"/>
        <v>Malefic Mask of the Shadows</v>
      </c>
    </row>
    <row r="12" spans="1:29">
      <c r="A12" s="677" t="s">
        <v>548</v>
      </c>
      <c r="B12" s="678">
        <v>33479</v>
      </c>
      <c r="C12" s="678">
        <v>4</v>
      </c>
      <c r="D12" s="678"/>
      <c r="E12" s="678">
        <v>40</v>
      </c>
      <c r="F12" s="678">
        <v>82</v>
      </c>
      <c r="G12" s="679"/>
      <c r="H12" s="679">
        <v>24</v>
      </c>
      <c r="I12" s="678"/>
      <c r="J12" s="678"/>
      <c r="K12" s="678"/>
      <c r="L12" s="678">
        <v>48</v>
      </c>
      <c r="M12" s="679"/>
      <c r="N12" s="679"/>
      <c r="O12" s="678"/>
      <c r="P12" s="678"/>
      <c r="Q12" s="678" t="s">
        <v>1001</v>
      </c>
      <c r="R12" s="678" t="s">
        <v>1065</v>
      </c>
      <c r="S12" s="678" t="s">
        <v>664</v>
      </c>
      <c r="T12" s="687"/>
      <c r="U12" s="687"/>
      <c r="V12" s="687"/>
      <c r="W12" s="687" t="s">
        <v>191</v>
      </c>
      <c r="X12" s="678">
        <v>133</v>
      </c>
      <c r="Y12" s="890">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80">
        <v>341</v>
      </c>
      <c r="AA12" s="221"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8">
        <v>9</v>
      </c>
      <c r="AC12" s="714" t="str">
        <f t="shared" si="0"/>
        <v>Mask of Veiled Death</v>
      </c>
    </row>
    <row r="13" spans="1:29">
      <c r="A13" s="677" t="s">
        <v>1071</v>
      </c>
      <c r="B13" s="678">
        <v>28414</v>
      </c>
      <c r="C13" s="678">
        <v>1</v>
      </c>
      <c r="D13" s="678"/>
      <c r="E13" s="678"/>
      <c r="F13" s="678">
        <v>66</v>
      </c>
      <c r="G13" s="679">
        <v>25</v>
      </c>
      <c r="H13" s="679"/>
      <c r="I13" s="678"/>
      <c r="J13" s="678"/>
      <c r="K13" s="678"/>
      <c r="L13" s="678">
        <v>25</v>
      </c>
      <c r="M13" s="679"/>
      <c r="N13" s="679"/>
      <c r="O13" s="678"/>
      <c r="P13" s="678" t="s">
        <v>2146</v>
      </c>
      <c r="Q13" s="678" t="s">
        <v>1051</v>
      </c>
      <c r="R13" s="678" t="s">
        <v>1072</v>
      </c>
      <c r="S13" s="678" t="s">
        <v>673</v>
      </c>
      <c r="T13" s="687"/>
      <c r="U13" s="687"/>
      <c r="V13" s="687"/>
      <c r="W13" s="687" t="s">
        <v>632</v>
      </c>
      <c r="X13" s="678">
        <v>115</v>
      </c>
      <c r="Y13" s="890">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80">
        <v>237</v>
      </c>
      <c r="AA13" s="221">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8">
        <v>10</v>
      </c>
      <c r="AC13" s="714" t="str">
        <f t="shared" si="0"/>
        <v>Netherblade Facemask</v>
      </c>
    </row>
    <row r="14" spans="1:29">
      <c r="A14" s="677" t="s">
        <v>1073</v>
      </c>
      <c r="B14" s="678">
        <v>28182</v>
      </c>
      <c r="C14" s="678">
        <v>1</v>
      </c>
      <c r="D14" s="678"/>
      <c r="E14" s="678">
        <v>25</v>
      </c>
      <c r="F14" s="678">
        <v>66</v>
      </c>
      <c r="G14" s="679"/>
      <c r="H14" s="679">
        <v>14</v>
      </c>
      <c r="I14" s="678"/>
      <c r="J14" s="678"/>
      <c r="K14" s="678"/>
      <c r="L14" s="678">
        <v>21</v>
      </c>
      <c r="M14" s="679"/>
      <c r="N14" s="679"/>
      <c r="O14" s="678"/>
      <c r="P14" s="678"/>
      <c r="Q14" s="678" t="s">
        <v>1051</v>
      </c>
      <c r="R14" s="678" t="s">
        <v>1069</v>
      </c>
      <c r="S14" s="678" t="s">
        <v>675</v>
      </c>
      <c r="T14" s="687"/>
      <c r="U14" s="687"/>
      <c r="V14" s="687"/>
      <c r="W14" s="687" t="s">
        <v>632</v>
      </c>
      <c r="X14" s="678">
        <v>115</v>
      </c>
      <c r="Y14" s="890">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80">
        <v>237</v>
      </c>
      <c r="AA14" s="221">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8">
        <v>11</v>
      </c>
      <c r="AC14" s="714" t="str">
        <f t="shared" si="0"/>
        <v>Opportunist's Leather Helm</v>
      </c>
    </row>
    <row r="15" spans="1:29">
      <c r="A15" s="677" t="s">
        <v>1074</v>
      </c>
      <c r="B15" s="678">
        <v>28796</v>
      </c>
      <c r="C15" s="678">
        <v>1</v>
      </c>
      <c r="D15" s="678"/>
      <c r="E15" s="678"/>
      <c r="F15" s="678">
        <v>84</v>
      </c>
      <c r="G15" s="679">
        <v>42</v>
      </c>
      <c r="H15" s="679">
        <v>31</v>
      </c>
      <c r="I15" s="678"/>
      <c r="J15" s="678"/>
      <c r="K15" s="678"/>
      <c r="L15" s="678">
        <v>45</v>
      </c>
      <c r="M15" s="679"/>
      <c r="N15" s="679"/>
      <c r="O15" s="678"/>
      <c r="P15" s="678"/>
      <c r="Q15" s="678" t="s">
        <v>1048</v>
      </c>
      <c r="R15" s="678"/>
      <c r="S15" s="678" t="s">
        <v>678</v>
      </c>
      <c r="T15" s="687"/>
      <c r="U15" s="687"/>
      <c r="V15" s="687"/>
      <c r="W15" s="687" t="s">
        <v>191</v>
      </c>
      <c r="X15" s="678">
        <v>125</v>
      </c>
      <c r="Y15" s="890">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80">
        <v>321</v>
      </c>
      <c r="AA15" s="221">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8">
        <v>12</v>
      </c>
      <c r="AC15" s="714" t="str">
        <f t="shared" si="0"/>
        <v>Savage Mask of the Lynx Lord</v>
      </c>
    </row>
    <row r="16" spans="1:29">
      <c r="A16" s="683" t="s">
        <v>1075</v>
      </c>
      <c r="B16" s="678">
        <v>32087</v>
      </c>
      <c r="C16" s="678">
        <v>3</v>
      </c>
      <c r="D16" s="678"/>
      <c r="E16" s="678">
        <v>32</v>
      </c>
      <c r="F16" s="678">
        <v>64</v>
      </c>
      <c r="G16" s="679"/>
      <c r="H16" s="679">
        <v>16</v>
      </c>
      <c r="I16" s="678"/>
      <c r="J16" s="678"/>
      <c r="K16" s="678"/>
      <c r="L16" s="678">
        <v>36</v>
      </c>
      <c r="M16" s="679"/>
      <c r="N16" s="679"/>
      <c r="O16" s="678"/>
      <c r="P16" s="678"/>
      <c r="Q16" s="678" t="s">
        <v>1051</v>
      </c>
      <c r="R16" s="678" t="s">
        <v>1056</v>
      </c>
      <c r="S16" s="678" t="s">
        <v>691</v>
      </c>
      <c r="T16" s="692"/>
      <c r="U16" s="687"/>
      <c r="V16" s="687"/>
      <c r="W16" s="687" t="s">
        <v>191</v>
      </c>
      <c r="X16" s="678">
        <v>110</v>
      </c>
      <c r="Y16" s="890">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6">
        <v>283</v>
      </c>
      <c r="AA16" s="221"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8">
        <v>13</v>
      </c>
      <c r="AC16" s="714" t="str">
        <f t="shared" si="0"/>
        <v>Stealther's Helmet of Second Sight</v>
      </c>
    </row>
    <row r="17" spans="1:35">
      <c r="A17" s="677" t="s">
        <v>1211</v>
      </c>
      <c r="B17" s="678">
        <v>34404</v>
      </c>
      <c r="C17" s="678">
        <v>5</v>
      </c>
      <c r="D17" s="678">
        <v>50</v>
      </c>
      <c r="E17" s="678">
        <v>50</v>
      </c>
      <c r="F17" s="678"/>
      <c r="G17" s="679">
        <v>30</v>
      </c>
      <c r="H17" s="679"/>
      <c r="I17" s="678"/>
      <c r="J17" s="678"/>
      <c r="K17" s="678"/>
      <c r="L17" s="678">
        <v>58</v>
      </c>
      <c r="M17" s="679"/>
      <c r="N17" s="679"/>
      <c r="O17" s="678"/>
      <c r="P17" s="678"/>
      <c r="Q17" s="678" t="s">
        <v>1064</v>
      </c>
      <c r="R17" s="678" t="s">
        <v>1052</v>
      </c>
      <c r="S17" s="678" t="s">
        <v>871</v>
      </c>
      <c r="T17" s="687"/>
      <c r="U17" s="687"/>
      <c r="V17" s="687"/>
      <c r="W17" s="687" t="s">
        <v>191</v>
      </c>
      <c r="X17" s="678">
        <v>159</v>
      </c>
      <c r="Y17" s="890">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80">
        <v>643</v>
      </c>
      <c r="AA17" s="221"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8">
        <v>14</v>
      </c>
      <c r="AC17" s="714" t="str">
        <f t="shared" si="0"/>
        <v>Wastewalker Helm</v>
      </c>
    </row>
    <row r="18" spans="1:35">
      <c r="A18" s="677" t="s">
        <v>1076</v>
      </c>
      <c r="B18" s="678">
        <v>31281</v>
      </c>
      <c r="C18" s="678">
        <v>1</v>
      </c>
      <c r="D18" s="678"/>
      <c r="E18" s="678"/>
      <c r="F18" s="678">
        <v>80</v>
      </c>
      <c r="G18" s="679">
        <v>30</v>
      </c>
      <c r="H18" s="679">
        <v>19</v>
      </c>
      <c r="I18" s="678"/>
      <c r="J18" s="678"/>
      <c r="K18" s="678"/>
      <c r="L18" s="678"/>
      <c r="M18" s="679"/>
      <c r="N18" s="679"/>
      <c r="O18" s="678"/>
      <c r="P18" s="678"/>
      <c r="Q18" s="678" t="s">
        <v>1048</v>
      </c>
      <c r="R18" s="678"/>
      <c r="S18" s="678" t="s">
        <v>674</v>
      </c>
      <c r="T18" s="687"/>
      <c r="U18" s="687"/>
      <c r="V18" s="687"/>
      <c r="W18" s="687" t="s">
        <v>632</v>
      </c>
      <c r="X18" s="678">
        <v>106</v>
      </c>
      <c r="Y18" s="890">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80">
        <v>220</v>
      </c>
      <c r="AA18" s="221">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8">
        <v>15</v>
      </c>
      <c r="AC18" s="714" t="str">
        <f t="shared" si="0"/>
        <v>(Unmodeled)</v>
      </c>
    </row>
    <row r="19" spans="1:35">
      <c r="A19" s="677" t="s">
        <v>1077</v>
      </c>
      <c r="B19" s="678">
        <v>31999</v>
      </c>
      <c r="C19" s="678">
        <v>2</v>
      </c>
      <c r="D19" s="678"/>
      <c r="E19" s="678">
        <v>37</v>
      </c>
      <c r="F19" s="678">
        <v>44</v>
      </c>
      <c r="G19" s="679">
        <v>17</v>
      </c>
      <c r="H19" s="679"/>
      <c r="I19" s="678"/>
      <c r="J19" s="678"/>
      <c r="K19" s="678"/>
      <c r="L19" s="678">
        <v>58</v>
      </c>
      <c r="M19" s="679"/>
      <c r="N19" s="679">
        <v>25</v>
      </c>
      <c r="O19" s="678"/>
      <c r="P19" s="678" t="s">
        <v>1068</v>
      </c>
      <c r="Q19" s="678" t="s">
        <v>1064</v>
      </c>
      <c r="R19" s="678" t="s">
        <v>1069</v>
      </c>
      <c r="S19" s="678" t="s">
        <v>677</v>
      </c>
      <c r="T19" s="47"/>
      <c r="U19" s="47"/>
      <c r="V19" s="47"/>
      <c r="W19" s="47" t="s">
        <v>191</v>
      </c>
      <c r="X19" s="678">
        <v>136</v>
      </c>
      <c r="Y19" s="890">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80">
        <v>348</v>
      </c>
      <c r="AA19" s="221"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8">
        <v>16</v>
      </c>
      <c r="AC19" s="714" t="str">
        <f t="shared" si="0"/>
        <v/>
      </c>
    </row>
    <row r="20" spans="1:35">
      <c r="A20" s="690" t="s">
        <v>462</v>
      </c>
      <c r="B20" s="678">
        <v>29044</v>
      </c>
      <c r="C20" s="678">
        <v>1</v>
      </c>
      <c r="D20" s="678"/>
      <c r="E20" s="678">
        <v>28</v>
      </c>
      <c r="F20" s="678">
        <v>78</v>
      </c>
      <c r="G20" s="679"/>
      <c r="H20" s="679">
        <v>14</v>
      </c>
      <c r="I20" s="678"/>
      <c r="J20" s="678"/>
      <c r="K20" s="678"/>
      <c r="L20" s="678">
        <v>39</v>
      </c>
      <c r="M20" s="679"/>
      <c r="N20" s="679"/>
      <c r="O20" s="678"/>
      <c r="P20" s="678" t="s">
        <v>1078</v>
      </c>
      <c r="Q20" s="678" t="s">
        <v>1064</v>
      </c>
      <c r="R20" s="678" t="s">
        <v>1056</v>
      </c>
      <c r="S20" s="678" t="s">
        <v>672</v>
      </c>
      <c r="T20" s="677"/>
      <c r="U20" s="47"/>
      <c r="V20" s="687"/>
      <c r="W20" s="687" t="s">
        <v>191</v>
      </c>
      <c r="X20" s="678">
        <v>120</v>
      </c>
      <c r="Y20" s="890">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80">
        <v>308</v>
      </c>
      <c r="AA20" s="221">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8">
        <v>17</v>
      </c>
      <c r="AC20" s="714" t="str">
        <f t="shared" si="0"/>
        <v/>
      </c>
    </row>
    <row r="21" spans="1:35">
      <c r="A21" s="690" t="s">
        <v>705</v>
      </c>
      <c r="B21" s="678">
        <v>35367</v>
      </c>
      <c r="C21" s="678">
        <v>1</v>
      </c>
      <c r="D21" s="678"/>
      <c r="E21" s="678">
        <v>20</v>
      </c>
      <c r="F21" s="678">
        <v>20</v>
      </c>
      <c r="G21" s="679">
        <v>10</v>
      </c>
      <c r="H21" s="679"/>
      <c r="I21" s="678"/>
      <c r="J21" s="678"/>
      <c r="K21" s="678"/>
      <c r="L21" s="678">
        <v>36</v>
      </c>
      <c r="M21" s="679"/>
      <c r="N21" s="679">
        <v>24</v>
      </c>
      <c r="O21" s="678"/>
      <c r="P21" s="678" t="s">
        <v>2861</v>
      </c>
      <c r="Q21" s="678" t="s">
        <v>1064</v>
      </c>
      <c r="R21" s="678" t="s">
        <v>1069</v>
      </c>
      <c r="S21" s="678" t="s">
        <v>676</v>
      </c>
      <c r="T21" s="677"/>
      <c r="U21" s="47"/>
      <c r="V21" s="687"/>
      <c r="W21" s="687" t="s">
        <v>632</v>
      </c>
      <c r="X21" s="678">
        <v>115</v>
      </c>
      <c r="Y21" s="890">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80">
        <v>308</v>
      </c>
      <c r="AA21" s="221">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8">
        <v>18</v>
      </c>
      <c r="AC21" s="714" t="str">
        <f t="shared" si="0"/>
        <v/>
      </c>
    </row>
    <row r="22" spans="1:35" s="211" customFormat="1">
      <c r="A22" s="690" t="s">
        <v>980</v>
      </c>
      <c r="B22" s="678">
        <v>34353</v>
      </c>
      <c r="C22" s="678">
        <v>5</v>
      </c>
      <c r="D22" s="678"/>
      <c r="E22" s="678">
        <v>61</v>
      </c>
      <c r="F22" s="678">
        <v>104</v>
      </c>
      <c r="G22" s="679"/>
      <c r="H22" s="679">
        <v>24</v>
      </c>
      <c r="I22" s="678"/>
      <c r="J22" s="678"/>
      <c r="K22" s="678"/>
      <c r="L22" s="678">
        <v>47</v>
      </c>
      <c r="M22" s="679"/>
      <c r="N22" s="679"/>
      <c r="O22" s="678"/>
      <c r="P22" s="678"/>
      <c r="Q22" s="678" t="s">
        <v>1055</v>
      </c>
      <c r="R22" s="678" t="s">
        <v>1056</v>
      </c>
      <c r="S22" s="678" t="s">
        <v>689</v>
      </c>
      <c r="T22" s="687"/>
      <c r="U22" s="47"/>
      <c r="V22" s="687"/>
      <c r="W22" s="687" t="s">
        <v>191</v>
      </c>
      <c r="X22" s="678">
        <v>159</v>
      </c>
      <c r="Y22" s="890">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80">
        <v>405</v>
      </c>
      <c r="AA22" s="221"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8">
        <v>19</v>
      </c>
      <c r="AC22" s="714" t="str">
        <f t="shared" si="0"/>
        <v/>
      </c>
      <c r="AD22" s="210"/>
    </row>
    <row r="23" spans="1:35">
      <c r="A23" s="677" t="s">
        <v>1079</v>
      </c>
      <c r="B23" s="678">
        <v>27938</v>
      </c>
      <c r="C23" s="678">
        <v>1</v>
      </c>
      <c r="D23" s="678"/>
      <c r="E23" s="678">
        <v>35</v>
      </c>
      <c r="F23" s="678">
        <v>58</v>
      </c>
      <c r="G23" s="679"/>
      <c r="H23" s="679">
        <v>15</v>
      </c>
      <c r="I23" s="678"/>
      <c r="J23" s="678"/>
      <c r="K23" s="678"/>
      <c r="L23" s="678">
        <v>34</v>
      </c>
      <c r="M23" s="679"/>
      <c r="N23" s="679"/>
      <c r="O23" s="678"/>
      <c r="P23" s="678"/>
      <c r="Q23" s="678" t="s">
        <v>1048</v>
      </c>
      <c r="R23" s="678"/>
      <c r="S23" s="678" t="s">
        <v>691</v>
      </c>
      <c r="T23" s="687"/>
      <c r="U23" s="47"/>
      <c r="V23" s="687"/>
      <c r="W23" s="687" t="s">
        <v>632</v>
      </c>
      <c r="X23" s="678">
        <v>115</v>
      </c>
      <c r="Y23" s="890">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80">
        <v>237</v>
      </c>
      <c r="AA23" s="221">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8">
        <v>20</v>
      </c>
      <c r="AC23" s="714" t="str">
        <f t="shared" si="0"/>
        <v/>
      </c>
      <c r="AD23" s="129"/>
    </row>
    <row r="24" spans="1:35">
      <c r="A24" s="677" t="s">
        <v>998</v>
      </c>
      <c r="B24" s="678">
        <v>31027</v>
      </c>
      <c r="C24" s="678">
        <v>3</v>
      </c>
      <c r="D24" s="678"/>
      <c r="E24" s="678">
        <v>45</v>
      </c>
      <c r="F24" s="678">
        <v>92</v>
      </c>
      <c r="G24" s="679">
        <v>28</v>
      </c>
      <c r="H24" s="679">
        <v>15</v>
      </c>
      <c r="I24" s="678"/>
      <c r="J24" s="678"/>
      <c r="K24" s="678"/>
      <c r="L24" s="678">
        <v>55</v>
      </c>
      <c r="M24" s="679"/>
      <c r="N24" s="679"/>
      <c r="O24" s="678"/>
      <c r="P24" s="678" t="s">
        <v>999</v>
      </c>
      <c r="Q24" s="678" t="s">
        <v>1051</v>
      </c>
      <c r="R24" s="678" t="s">
        <v>2020</v>
      </c>
      <c r="S24" s="678" t="s">
        <v>684</v>
      </c>
      <c r="T24" s="687"/>
      <c r="U24" s="47"/>
      <c r="V24" s="687"/>
      <c r="W24" s="687" t="s">
        <v>191</v>
      </c>
      <c r="X24" s="678">
        <v>146</v>
      </c>
      <c r="Y24" s="890">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80">
        <v>373</v>
      </c>
      <c r="AA24" s="221"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8">
        <v>21</v>
      </c>
      <c r="AC24" s="714" t="str">
        <f t="shared" si="0"/>
        <v/>
      </c>
      <c r="AD24" s="129"/>
    </row>
    <row r="25" spans="1:35">
      <c r="A25" s="677" t="s">
        <v>1000</v>
      </c>
      <c r="B25" s="679">
        <v>31109</v>
      </c>
      <c r="C25" s="679">
        <v>1</v>
      </c>
      <c r="D25" s="678"/>
      <c r="E25" s="678">
        <v>24</v>
      </c>
      <c r="F25" s="678">
        <v>60</v>
      </c>
      <c r="G25" s="679"/>
      <c r="H25" s="679">
        <v>13</v>
      </c>
      <c r="I25" s="679"/>
      <c r="J25" s="678"/>
      <c r="K25" s="679"/>
      <c r="L25" s="678">
        <v>18</v>
      </c>
      <c r="M25" s="679"/>
      <c r="N25" s="679"/>
      <c r="O25" s="679"/>
      <c r="P25" s="678"/>
      <c r="Q25" s="678" t="s">
        <v>1001</v>
      </c>
      <c r="R25" s="678" t="s">
        <v>1065</v>
      </c>
      <c r="S25" s="678" t="s">
        <v>675</v>
      </c>
      <c r="T25" s="687"/>
      <c r="U25" s="687"/>
      <c r="V25" s="687"/>
      <c r="W25" s="687" t="s">
        <v>632</v>
      </c>
      <c r="X25" s="679">
        <v>109</v>
      </c>
      <c r="Y25" s="890">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80">
        <v>226</v>
      </c>
      <c r="AA25" s="221">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8">
        <v>22</v>
      </c>
      <c r="AC25" s="714" t="str">
        <f t="shared" si="0"/>
        <v/>
      </c>
      <c r="AD25" s="129"/>
    </row>
    <row r="26" spans="1:35">
      <c r="A26" s="683" t="s">
        <v>1002</v>
      </c>
      <c r="B26" s="678">
        <v>31333</v>
      </c>
      <c r="C26" s="678">
        <v>3</v>
      </c>
      <c r="D26" s="678"/>
      <c r="E26" s="678">
        <v>45</v>
      </c>
      <c r="F26" s="678">
        <v>68</v>
      </c>
      <c r="G26" s="679"/>
      <c r="H26" s="679"/>
      <c r="I26" s="678"/>
      <c r="J26" s="678"/>
      <c r="K26" s="678"/>
      <c r="L26" s="678">
        <v>27</v>
      </c>
      <c r="M26" s="679"/>
      <c r="N26" s="679"/>
      <c r="O26" s="678"/>
      <c r="P26" s="678"/>
      <c r="Q26" s="678" t="s">
        <v>1048</v>
      </c>
      <c r="R26" s="678"/>
      <c r="S26" s="678" t="s">
        <v>674</v>
      </c>
      <c r="T26" s="47"/>
      <c r="U26" s="47"/>
      <c r="V26" s="47"/>
      <c r="W26" s="47" t="s">
        <v>191</v>
      </c>
      <c r="X26" s="678">
        <v>100</v>
      </c>
      <c r="Y26" s="890">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80">
        <v>259</v>
      </c>
      <c r="AA26" s="221" t="str">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
      </c>
      <c r="AB26" s="738">
        <v>23</v>
      </c>
      <c r="AC26" s="714" t="str">
        <f t="shared" si="0"/>
        <v/>
      </c>
      <c r="AD26" s="129"/>
    </row>
    <row r="27" spans="1:35">
      <c r="A27" s="677" t="s">
        <v>1525</v>
      </c>
      <c r="B27" s="678">
        <v>33701</v>
      </c>
      <c r="C27" s="678">
        <v>3</v>
      </c>
      <c r="D27" s="678"/>
      <c r="E27" s="678">
        <v>31</v>
      </c>
      <c r="F27" s="678">
        <v>52</v>
      </c>
      <c r="G27" s="679">
        <v>21</v>
      </c>
      <c r="H27" s="679">
        <v>12</v>
      </c>
      <c r="I27" s="678"/>
      <c r="J27" s="678">
        <v>84</v>
      </c>
      <c r="K27" s="678"/>
      <c r="L27" s="678">
        <v>65</v>
      </c>
      <c r="M27" s="679"/>
      <c r="N27" s="679">
        <v>25</v>
      </c>
      <c r="O27" s="678"/>
      <c r="P27" s="678" t="s">
        <v>1068</v>
      </c>
      <c r="Q27" s="678" t="s">
        <v>1064</v>
      </c>
      <c r="R27" s="678" t="s">
        <v>1069</v>
      </c>
      <c r="S27" s="678" t="s">
        <v>677</v>
      </c>
      <c r="T27" s="47"/>
      <c r="U27" s="47"/>
      <c r="V27" s="47"/>
      <c r="W27" s="47" t="s">
        <v>191</v>
      </c>
      <c r="X27" s="678">
        <v>146</v>
      </c>
      <c r="Y27" s="890">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80">
        <v>443</v>
      </c>
      <c r="AA27" s="221"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8">
        <v>24</v>
      </c>
      <c r="AC27" s="714" t="str">
        <f t="shared" si="0"/>
        <v/>
      </c>
      <c r="AD27" s="114"/>
      <c r="AE27" s="125"/>
      <c r="AI27" s="129"/>
    </row>
    <row r="28" spans="1:35">
      <c r="A28" s="677" t="s">
        <v>1003</v>
      </c>
      <c r="B28" s="678">
        <v>28224</v>
      </c>
      <c r="C28" s="678">
        <v>1</v>
      </c>
      <c r="D28" s="678"/>
      <c r="E28" s="678"/>
      <c r="F28" s="678">
        <v>56</v>
      </c>
      <c r="G28" s="679">
        <v>22</v>
      </c>
      <c r="H28" s="679">
        <v>18</v>
      </c>
      <c r="I28" s="678"/>
      <c r="J28" s="678"/>
      <c r="K28" s="678"/>
      <c r="L28" s="678">
        <v>30</v>
      </c>
      <c r="M28" s="679"/>
      <c r="N28" s="679"/>
      <c r="O28" s="678"/>
      <c r="P28" s="678" t="s">
        <v>1004</v>
      </c>
      <c r="Q28" s="678" t="s">
        <v>1055</v>
      </c>
      <c r="R28" s="678" t="s">
        <v>1065</v>
      </c>
      <c r="S28" s="678" t="s">
        <v>691</v>
      </c>
      <c r="T28" s="47"/>
      <c r="U28" s="47"/>
      <c r="V28" s="47"/>
      <c r="W28" s="47" t="s">
        <v>632</v>
      </c>
      <c r="X28" s="678">
        <v>115</v>
      </c>
      <c r="Y28" s="890">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80">
        <v>237</v>
      </c>
      <c r="AA28" s="221">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14</v>
      </c>
      <c r="AB28" s="738">
        <v>25</v>
      </c>
      <c r="AC28" s="714" t="str">
        <f t="shared" si="0"/>
        <v/>
      </c>
    </row>
    <row r="29" spans="1:35">
      <c r="A29" s="677" t="str">
        <f>'Gear &amp; Buffs'!$B$156</f>
        <v>(Unmodeled)</v>
      </c>
      <c r="B29" s="678"/>
      <c r="C29" s="678"/>
      <c r="D29" s="678">
        <f>'Gear &amp; Buffs'!$D$156</f>
        <v>0</v>
      </c>
      <c r="E29" s="678">
        <f>'Gear &amp; Buffs'!$E$156</f>
        <v>0</v>
      </c>
      <c r="F29" s="678">
        <f>'Gear &amp; Buffs'!$I$156</f>
        <v>0</v>
      </c>
      <c r="G29" s="679">
        <f>'Gear &amp; Buffs'!$G$156</f>
        <v>0</v>
      </c>
      <c r="H29" s="679">
        <f>'Gear &amp; Buffs'!$H$156</f>
        <v>0</v>
      </c>
      <c r="I29" s="678">
        <f>'Gear &amp; Buffs'!$P$156</f>
        <v>0</v>
      </c>
      <c r="J29" s="678">
        <f>'Gear &amp; Buffs'!$Q$156</f>
        <v>0</v>
      </c>
      <c r="K29" s="678">
        <f>'Gear &amp; Buffs'!$L$156</f>
        <v>0</v>
      </c>
      <c r="L29" s="678">
        <f>'Gear &amp; Buffs'!$F$156</f>
        <v>0</v>
      </c>
      <c r="M29" s="679">
        <f>'Gear &amp; Buffs'!$K$156</f>
        <v>0</v>
      </c>
      <c r="N29" s="679">
        <f>'Gear &amp; Buffs'!$J$156</f>
        <v>0</v>
      </c>
      <c r="O29" s="693">
        <f>'Gear &amp; Buffs'!M156</f>
        <v>0</v>
      </c>
      <c r="P29" s="678"/>
      <c r="Q29" s="678" t="str">
        <f>'Gear &amp; Buffs'!$R$156</f>
        <v>0 0 0 0</v>
      </c>
      <c r="R29" s="694">
        <f>'Gear &amp; Buffs'!S156</f>
        <v>0</v>
      </c>
      <c r="S29" s="678"/>
      <c r="T29" s="47"/>
      <c r="U29" s="47"/>
      <c r="V29" s="47"/>
      <c r="W29" s="47"/>
      <c r="X29" s="678"/>
      <c r="Y29" s="890">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80"/>
      <c r="AA29" s="681">
        <f>MAX($AA$1:$AA28)+1</f>
        <v>15</v>
      </c>
      <c r="AB29" s="738">
        <v>26</v>
      </c>
      <c r="AC29" s="714" t="str">
        <f t="shared" si="0"/>
        <v/>
      </c>
    </row>
    <row r="30" spans="1:35">
      <c r="A30" s="690" t="s">
        <v>2207</v>
      </c>
      <c r="B30" s="709"/>
      <c r="C30" s="709"/>
      <c r="D30" s="710"/>
      <c r="E30" s="710"/>
      <c r="F30" s="710"/>
      <c r="G30" s="709"/>
      <c r="H30" s="709"/>
      <c r="I30" s="709"/>
      <c r="J30" s="678"/>
      <c r="K30" s="709"/>
      <c r="L30" s="710"/>
      <c r="M30" s="709"/>
      <c r="N30" s="709"/>
      <c r="O30" s="709"/>
      <c r="P30" s="709"/>
      <c r="Q30" s="678" t="s">
        <v>1048</v>
      </c>
      <c r="R30" s="678"/>
      <c r="S30" s="679"/>
      <c r="T30" s="47"/>
      <c r="U30" s="47"/>
      <c r="V30" s="47"/>
      <c r="W30" s="47"/>
      <c r="X30" s="709"/>
      <c r="Y30" s="711"/>
      <c r="Z30" s="680"/>
      <c r="AA30" s="681"/>
      <c r="AB30" s="738">
        <v>27</v>
      </c>
      <c r="AC30" s="714" t="str">
        <f t="shared" si="0"/>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8">
        <v>28</v>
      </c>
      <c r="AC31" s="714" t="str">
        <f t="shared" si="0"/>
        <v/>
      </c>
    </row>
    <row r="32" spans="1:35">
      <c r="S32" s="114"/>
      <c r="X32" s="125"/>
    </row>
    <row r="33" spans="1:29" ht="23.25" thickBot="1">
      <c r="A33" s="729" t="s">
        <v>1005</v>
      </c>
      <c r="B33" s="730" t="s">
        <v>1934</v>
      </c>
      <c r="C33" s="730" t="s">
        <v>2798</v>
      </c>
      <c r="D33" s="731" t="s">
        <v>1214</v>
      </c>
      <c r="E33" s="731" t="s">
        <v>1215</v>
      </c>
      <c r="F33" s="731" t="s">
        <v>768</v>
      </c>
      <c r="G33" s="730" t="s">
        <v>2140</v>
      </c>
      <c r="H33" s="730" t="s">
        <v>2139</v>
      </c>
      <c r="I33" s="730" t="s">
        <v>771</v>
      </c>
      <c r="J33" s="732" t="s">
        <v>770</v>
      </c>
      <c r="K33" s="730" t="s">
        <v>760</v>
      </c>
      <c r="L33" s="731" t="s">
        <v>1216</v>
      </c>
      <c r="M33" s="730" t="s">
        <v>264</v>
      </c>
      <c r="N33" s="730" t="s">
        <v>1217</v>
      </c>
      <c r="O33" s="730" t="s">
        <v>1287</v>
      </c>
      <c r="P33" s="730" t="s">
        <v>1046</v>
      </c>
      <c r="Q33" s="731" t="s">
        <v>1047</v>
      </c>
      <c r="R33" s="731" t="s">
        <v>1941</v>
      </c>
      <c r="S33" s="731" t="s">
        <v>666</v>
      </c>
      <c r="T33" s="730"/>
      <c r="U33" s="730"/>
      <c r="V33" s="730"/>
      <c r="W33" s="730" t="s">
        <v>921</v>
      </c>
      <c r="X33" s="730"/>
      <c r="Y33" s="733" t="s">
        <v>265</v>
      </c>
      <c r="Z33" s="734"/>
      <c r="AA33" s="734">
        <v>0</v>
      </c>
      <c r="AB33" s="866"/>
      <c r="AC33" s="735" t="s">
        <v>1689</v>
      </c>
    </row>
    <row r="34" spans="1:29">
      <c r="A34" s="695" t="s">
        <v>1006</v>
      </c>
      <c r="B34" s="696">
        <v>2585</v>
      </c>
      <c r="C34" s="696">
        <v>1</v>
      </c>
      <c r="D34" s="696"/>
      <c r="E34" s="696"/>
      <c r="F34" s="696">
        <v>28</v>
      </c>
      <c r="G34" s="697"/>
      <c r="H34" s="697"/>
      <c r="I34" s="697"/>
      <c r="J34" s="697"/>
      <c r="K34" s="697"/>
      <c r="L34" s="696"/>
      <c r="M34" s="697">
        <v>12</v>
      </c>
      <c r="N34" s="697"/>
      <c r="O34" s="697"/>
      <c r="P34" s="697"/>
      <c r="Q34" s="697"/>
      <c r="R34" s="697"/>
      <c r="S34" s="697" t="s">
        <v>668</v>
      </c>
      <c r="T34" s="715"/>
      <c r="U34" s="715"/>
      <c r="V34" s="715"/>
      <c r="W34" s="715" t="b">
        <v>0</v>
      </c>
      <c r="X34" s="715"/>
      <c r="Y34" s="890">
        <f>($D34*dpsStr+$E34*dpsAgi+$G34*dpsCrit+$H34*dpsHit+$F34*dpsAP+$I34*dpsHaste+$J34*dpsArmor+$K34*dpsExp)-'Gear &amp; Buffs'!$AF$27</f>
        <v>-90.944483629165461</v>
      </c>
      <c r="Z34" s="716"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1">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7"/>
      <c r="AC34" s="719"/>
    </row>
    <row r="35" spans="1:29">
      <c r="A35" s="677" t="s">
        <v>465</v>
      </c>
      <c r="B35" s="678">
        <v>3003</v>
      </c>
      <c r="C35" s="678">
        <v>1</v>
      </c>
      <c r="D35" s="678"/>
      <c r="E35" s="678"/>
      <c r="F35" s="678">
        <v>34</v>
      </c>
      <c r="G35" s="679"/>
      <c r="H35" s="679">
        <v>16</v>
      </c>
      <c r="I35" s="679"/>
      <c r="J35" s="679"/>
      <c r="K35" s="679"/>
      <c r="L35" s="678"/>
      <c r="M35" s="679"/>
      <c r="N35" s="679"/>
      <c r="O35" s="679"/>
      <c r="P35" s="679"/>
      <c r="Q35" s="679"/>
      <c r="R35" s="678"/>
      <c r="S35" s="679" t="s">
        <v>1689</v>
      </c>
      <c r="T35" s="717"/>
      <c r="U35" s="717"/>
      <c r="V35" s="717"/>
      <c r="W35" s="717" t="b">
        <v>0</v>
      </c>
      <c r="X35" s="717"/>
      <c r="Y35" s="890">
        <f>($D35*dpsStr+$E35*dpsAgi+$G35*dpsCrit+$H35*dpsHit+$F35*dpsAP+$I35*dpsHaste+$J35*dpsArmor+$K35*dpsExp)-'Gear &amp; Buffs'!$AF$27</f>
        <v>0</v>
      </c>
      <c r="Z35" s="687"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8">
        <v>1</v>
      </c>
      <c r="AC35" s="714" t="str">
        <f>IF(ISNA(INDEX($A$34:$A$38,MATCH(AB35,AA$34:AA$38,0))), "", INDEX($A$34:$A$38,MATCH(AB35,AA$34:AA$38,0)))</f>
        <v>Death's Embrace (+28ap +12 dodge)</v>
      </c>
    </row>
    <row r="36" spans="1:29">
      <c r="A36" s="677" t="s">
        <v>2158</v>
      </c>
      <c r="B36" s="678">
        <v>2999</v>
      </c>
      <c r="C36" s="678">
        <v>1</v>
      </c>
      <c r="D36" s="678"/>
      <c r="E36" s="678"/>
      <c r="F36" s="678"/>
      <c r="G36" s="679"/>
      <c r="H36" s="679"/>
      <c r="I36" s="679"/>
      <c r="J36" s="679"/>
      <c r="K36" s="679"/>
      <c r="L36" s="678"/>
      <c r="M36" s="679">
        <v>17</v>
      </c>
      <c r="N36" s="679"/>
      <c r="O36" s="679">
        <v>16</v>
      </c>
      <c r="P36" s="679"/>
      <c r="Q36" s="679"/>
      <c r="R36" s="679"/>
      <c r="S36" s="679" t="s">
        <v>1689</v>
      </c>
      <c r="T36" s="717"/>
      <c r="U36" s="717"/>
      <c r="V36" s="717"/>
      <c r="W36" s="717" t="b">
        <v>1</v>
      </c>
      <c r="X36" s="717"/>
      <c r="Y36" s="890">
        <f>($D36*dpsStr+$E36*dpsAgi+$G36*dpsCrit+$H36*dpsHit+$F36*dpsAP+$I36*dpsHaste+$J36*dpsArmor+$K36*dpsExp)-'Gear &amp; Buffs'!$AF$27</f>
        <v>-100.94972435311001</v>
      </c>
      <c r="Z36" s="687"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1"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8">
        <v>2</v>
      </c>
      <c r="AC36" s="714" t="str">
        <f>IF(ISNA(INDEX($A$34:$A$38,MATCH(AB36,AA$34:AA$38,0))), "", INDEX($A$34:$A$38,MATCH(AB36,AA$34:AA$38,0)))</f>
        <v>Glyph of Ferocity (+16 hit +34ap)</v>
      </c>
    </row>
    <row r="37" spans="1:29">
      <c r="A37" s="677" t="s">
        <v>1104</v>
      </c>
      <c r="B37" s="678">
        <v>2543</v>
      </c>
      <c r="C37" s="678">
        <v>1</v>
      </c>
      <c r="D37" s="678"/>
      <c r="E37" s="678"/>
      <c r="F37" s="678"/>
      <c r="G37" s="679"/>
      <c r="H37" s="679"/>
      <c r="I37" s="679">
        <v>10</v>
      </c>
      <c r="J37" s="679"/>
      <c r="K37" s="679"/>
      <c r="L37" s="678"/>
      <c r="M37" s="679"/>
      <c r="N37" s="679"/>
      <c r="O37" s="679"/>
      <c r="P37" s="679"/>
      <c r="Q37" s="679"/>
      <c r="R37" s="679"/>
      <c r="S37" s="679" t="s">
        <v>668</v>
      </c>
      <c r="T37" s="717"/>
      <c r="U37" s="717"/>
      <c r="V37" s="717"/>
      <c r="W37" s="717" t="b">
        <v>0</v>
      </c>
      <c r="X37" s="717"/>
      <c r="Y37" s="890">
        <f>($D37*dpsStr+$E37*dpsAgi+$G37*dpsCrit+$H37*dpsHit+$F37*dpsAP+$I37*dpsHaste+$J37*dpsArmor+$K37*dpsExp)-'Gear &amp; Buffs'!$AF$27</f>
        <v>-64.235876962908605</v>
      </c>
      <c r="Z37" s="687"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8">
        <v>3</v>
      </c>
      <c r="AC37" s="714" t="str">
        <f>IF(ISNA(INDEX($A$34:$A$38,MATCH(AB37,AA$34:AA$38,0))), "", INDEX($A$34:$A$38,MATCH(AB37,AA$34:AA$38,0)))</f>
        <v>Libram of Rapidity (+10 Haste)</v>
      </c>
    </row>
    <row r="38" spans="1:29">
      <c r="A38" s="677" t="s">
        <v>1105</v>
      </c>
      <c r="B38" s="678">
        <v>1508</v>
      </c>
      <c r="C38" s="678">
        <v>1</v>
      </c>
      <c r="D38" s="678"/>
      <c r="E38" s="678">
        <v>8</v>
      </c>
      <c r="F38" s="678"/>
      <c r="G38" s="679"/>
      <c r="H38" s="679"/>
      <c r="I38" s="679"/>
      <c r="J38" s="679"/>
      <c r="K38" s="679"/>
      <c r="L38" s="678"/>
      <c r="M38" s="679"/>
      <c r="N38" s="679"/>
      <c r="O38" s="679"/>
      <c r="P38" s="679"/>
      <c r="Q38" s="679"/>
      <c r="R38" s="679"/>
      <c r="S38" s="679" t="s">
        <v>668</v>
      </c>
      <c r="T38" s="717"/>
      <c r="U38" s="717"/>
      <c r="V38" s="717"/>
      <c r="W38" s="717" t="b">
        <v>0</v>
      </c>
      <c r="X38" s="717"/>
      <c r="Y38" s="890">
        <f>($D38*dpsStr+$E38*dpsAgi+$G38*dpsCrit+$H38*dpsHit+$F38*dpsAP+$I38*dpsHaste+$J38*dpsArmor+$K38*dpsExp)-'Gear &amp; Buffs'!$AF$27</f>
        <v>-94.332021398430243</v>
      </c>
      <c r="Z38" s="687"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8">
        <v>4</v>
      </c>
      <c r="AC38" s="714" t="str">
        <f>IF(ISNA(INDEX($A$34:$A$38,MATCH(AB38,AA$34:AA$38,0))), "", INDEX($A$34:$A$38,MATCH(AB38,AA$34:AA$38,0)))</f>
        <v>Libram of Voracity (+8 Agility)</v>
      </c>
    </row>
    <row r="39" spans="1:29">
      <c r="A39" s="690" t="s">
        <v>2207</v>
      </c>
      <c r="B39" s="678"/>
      <c r="C39" s="678"/>
      <c r="D39" s="678"/>
      <c r="E39" s="678"/>
      <c r="F39" s="678"/>
      <c r="G39" s="679"/>
      <c r="H39" s="679"/>
      <c r="I39" s="679"/>
      <c r="J39" s="679"/>
      <c r="K39" s="679"/>
      <c r="L39" s="678"/>
      <c r="M39" s="679"/>
      <c r="N39" s="679"/>
      <c r="O39" s="679"/>
      <c r="P39" s="679"/>
      <c r="Q39" s="679"/>
      <c r="R39" s="679"/>
      <c r="S39" s="679"/>
      <c r="T39" s="717"/>
      <c r="U39" s="717"/>
      <c r="V39" s="717"/>
      <c r="W39" s="717"/>
      <c r="X39" s="717"/>
      <c r="Y39" s="718"/>
      <c r="Z39" s="687"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1"/>
      <c r="AB39" s="868">
        <v>5</v>
      </c>
      <c r="AC39" s="714"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stopIfTrue="1" operator="lessThan">
      <formula>0</formula>
    </cfRule>
    <cfRule type="cellIs" dxfId="4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X4" sqref="X4"/>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4"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437</v>
      </c>
    </row>
    <row r="2" spans="1:24">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1">
        <f>($D2*dpsStr+$E2*dpsAgi+$G2*dpsCrit+$H2*dpsHit+$F2*dpsAP+$I2*dpsHaste+$J2*dpsArmor+$K2*dpsExp+IF(MID($Q2,1,1)+MID($Q2,3,1)+MID($Q2,5,1)&gt;0,VLOOKUP('Gear &amp; Buffs'!$B$33,GenSocketStats,18,FALSE)+IF(MID($Q2,1,1)+MID($Q2,3,1)+MID($Q2,5,1)&gt;1,VLOOKUP('Gear &amp; Buffs'!$B$34,GenSocketStats,18,FALSE),0),0))-'Gear &amp; Buffs'!$AF$32</f>
        <v>-98.729574836544998</v>
      </c>
      <c r="V2" s="221">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1">
        <f>($D3*dpsStr+$E3*dpsAgi+$G3*dpsCrit+$H3*dpsHit+$F3*dpsAP+$I3*dpsHaste+$J3*dpsArmor+$K3*dpsExp+IF(MID($Q3,1,1)+MID($Q3,3,1)+MID($Q3,5,1)&gt;0,VLOOKUP('Gear &amp; Buffs'!$B$33,GenSocketStats,18,FALSE)+IF(MID($Q3,1,1)+MID($Q3,3,1)+MID($Q3,5,1)&gt;1,VLOOKUP('Gear &amp; Buffs'!$B$34,GenSocketStats,18,FALSE),0),0))-'Gear &amp; Buffs'!$AF$32</f>
        <v>0</v>
      </c>
      <c r="V3" s="221"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1">
        <f>($D4*dpsStr+$E4*dpsAgi+$G4*dpsCrit+$H4*dpsHit+$F4*dpsAP+$I4*dpsHaste+$J4*dpsArmor+$K4*dpsExp+IF(MID($Q4,1,1)+MID($Q4,3,1)+MID($Q4,5,1)&gt;0,VLOOKUP('Gear &amp; Buffs'!$B$33,GenSocketStats,18,FALSE)+IF(MID($Q4,1,1)+MID($Q4,3,1)+MID($Q4,5,1)&gt;1,VLOOKUP('Gear &amp; Buffs'!$B$34,GenSocketStats,18,FALSE),0),0))-'Gear &amp; Buffs'!$AF$32</f>
        <v>-100.49832629106504</v>
      </c>
      <c r="V4" s="221">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8" si="0">IF(ISNA(INDEX($A$2:$A$36,MATCH(W4,V$2:V$36,0))), "", INDEX($A$2:$A$36,MATCH(W4,V$2:V$36,0)))</f>
        <v>Adamantine Chain of the Unbroken</v>
      </c>
    </row>
    <row r="5" spans="1:24">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1">
        <f>($D5*dpsStr+$E5*dpsAgi+$G5*dpsCrit+$H5*dpsHit+$F5*dpsAP+$I5*dpsHaste+$J5*dpsArmor+$K5*dpsExp+IF(MID($Q5,1,1)+MID($Q5,3,1)+MID($Q5,5,1)&gt;0,VLOOKUP('Gear &amp; Buffs'!$B$33,GenSocketStats,18,FALSE)+IF(MID($Q5,1,1)+MID($Q5,3,1)+MID($Q5,5,1)&gt;1,VLOOKUP('Gear &amp; Buffs'!$B$34,GenSocketStats,18,FALSE),0),0))-'Gear &amp; Buffs'!$AF$32</f>
        <v>-30.721350360101724</v>
      </c>
      <c r="V5" s="221">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Blood Guard's Necklace of Ferocity</v>
      </c>
    </row>
    <row r="6" spans="1:24">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1">
        <f>($D6*dpsStr+$E6*dpsAgi+$G6*dpsCrit+$H6*dpsHit+$F6*dpsAP+$I6*dpsHaste+$J6*dpsArmor+$K6*dpsExp+IF(MID($Q6,1,1)+MID($Q6,3,1)+MID($Q6,5,1)&gt;0,VLOOKUP('Gear &amp; Buffs'!$B$33,GenSocketStats,18,FALSE)+IF(MID($Q6,1,1)+MID($Q6,3,1)+MID($Q6,5,1)&gt;1,VLOOKUP('Gear &amp; Buffs'!$B$34,GenSocketStats,18,FALSE),0),0))-'Gear &amp; Buffs'!$AF$32</f>
        <v>4.300272483030767</v>
      </c>
      <c r="V6" s="221">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8">
        <v>3</v>
      </c>
      <c r="X6" s="714" t="str">
        <f t="shared" si="0"/>
        <v>Bone Chain Necklace</v>
      </c>
    </row>
    <row r="7" spans="1:24">
      <c r="A7" s="722"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1">
        <f>($D7*dpsStr+$E7*dpsAgi+$G7*dpsCrit+$H7*dpsHit+$F7*dpsAP+$I7*dpsHaste+$J7*dpsArmor+$K7*dpsExp+IF(MID($Q7,1,1)+MID($Q7,3,1)+MID($Q7,5,1)&gt;0,VLOOKUP('Gear &amp; Buffs'!$B$33,GenSocketStats,18,FALSE)+IF(MID($Q7,1,1)+MID($Q7,3,1)+MID($Q7,5,1)&gt;1,VLOOKUP('Gear &amp; Buffs'!$B$34,GenSocketStats,18,FALSE),0),0))-'Gear &amp; Buffs'!$AF$32</f>
        <v>15.398820468810754</v>
      </c>
      <c r="V7" s="221"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Braided Eternium Chain (w/ +28crit)</v>
      </c>
    </row>
    <row r="8" spans="1:24">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1">
        <f>($D8*dpsStr+$E8*dpsAgi+$G8*dpsCrit+$H8*dpsHit+$F8*dpsAP+$I8*dpsHaste+$J8*dpsArmor+$K8*dpsExp+IF(MID($Q8,1,1)+MID($Q8,3,1)+MID($Q8,5,1)&gt;0,VLOOKUP('Gear &amp; Buffs'!$B$33,GenSocketStats,18,FALSE)+IF(MID($Q8,1,1)+MID($Q8,3,1)+MID($Q8,5,1)&gt;1,VLOOKUP('Gear &amp; Buffs'!$B$34,GenSocketStats,18,FALSE),0),0))-'Gear &amp; Buffs'!$AF$32</f>
        <v>-92.81024819945651</v>
      </c>
      <c r="V8" s="221"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Choker of Vile Intent</v>
      </c>
    </row>
    <row r="9" spans="1:24">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1">
        <f>($D9*dpsStr+$E9*dpsAgi+$G9*dpsCrit+$H9*dpsHit+$F9*dpsAP+$I9*dpsHaste+$J9*dpsArmor+$K9*dpsExp+IF(MID($Q9,1,1)+MID($Q9,3,1)+MID($Q9,5,1)&gt;0,VLOOKUP('Gear &amp; Buffs'!$B$33,GenSocketStats,18,FALSE)+IF(MID($Q9,1,1)+MID($Q9,3,1)+MID($Q9,5,1)&gt;1,VLOOKUP('Gear &amp; Buffs'!$B$34,GenSocketStats,18,FALSE),0),0))-'Gear &amp; Buffs'!$AF$32</f>
        <v>29.34223803909299</v>
      </c>
      <c r="V9" s="221"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Earthen Mark of Razing</v>
      </c>
    </row>
    <row r="10" spans="1:24">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1">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Haramad's Bargain</v>
      </c>
    </row>
    <row r="11" spans="1:24">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1">
        <f>($D11*dpsStr+$E11*dpsAgi+$G11*dpsCrit+$H11*dpsHit+$F11*dpsAP+$I11*dpsHaste+$J11*dpsArmor+$K11*dpsExp+IF(MID($Q11,1,1)+MID($Q11,3,1)+MID($Q11,5,1)&gt;0,VLOOKUP('Gear &amp; Buffs'!$B$33,GenSocketStats,18,FALSE)+IF(MID($Q11,1,1)+MID($Q11,3,1)+MID($Q11,5,1)&gt;1,VLOOKUP('Gear &amp; Buffs'!$B$34,GenSocketStats,18,FALSE),0),0))-'Gear &amp; Buffs'!$AF$32</f>
        <v>0</v>
      </c>
      <c r="V11" s="221">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Insignia of the Mag'hari Hero</v>
      </c>
    </row>
    <row r="12" spans="1:24">
      <c r="A12" s="10" t="s">
        <v>2027</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1">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Jagged Bark Pendant</v>
      </c>
    </row>
    <row r="13" spans="1:24">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1">
        <f>($D13*dpsStr+$E13*dpsAgi+$G13*dpsCrit+$H13*dpsHit+$F13*dpsAP+$I13*dpsHaste+$J13*dpsArmor+$K13*dpsExp+IF(MID($Q13,1,1)+MID($Q13,3,1)+MID($Q13,5,1)&gt;0,VLOOKUP('Gear &amp; Buffs'!$B$33,GenSocketStats,18,FALSE)+IF(MID($Q13,1,1)+MID($Q13,3,1)+MID($Q13,5,1)&gt;1,VLOOKUP('Gear &amp; Buffs'!$B$34,GenSocketStats,18,FALSE),0),0))-'Gear &amp; Buffs'!$AF$32</f>
        <v>-33.12977929644444</v>
      </c>
      <c r="V13" s="221">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8">
        <v>10</v>
      </c>
      <c r="X13" s="714" t="str">
        <f t="shared" si="0"/>
        <v>Natasha's Choker</v>
      </c>
    </row>
    <row r="14" spans="1:24">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1">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1"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Necklace of Trophies</v>
      </c>
    </row>
    <row r="15" spans="1:24">
      <c r="A15" s="10" t="s">
        <v>2808</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1">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1">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Pendant of Triumph</v>
      </c>
    </row>
    <row r="16" spans="1:24">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1">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1"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Prestor's Talisman of Connivery</v>
      </c>
    </row>
    <row r="17" spans="1:25">
      <c r="A17" s="10" t="s">
        <v>2809</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1">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1">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Saberclaw Talisman</v>
      </c>
    </row>
    <row r="18" spans="1:25">
      <c r="A18" s="10" t="s">
        <v>2810</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1">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1">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Talon Lord's Collar</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1">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1">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Traitor's Noose</v>
      </c>
    </row>
    <row r="20" spans="1:25">
      <c r="A20" s="10" t="s">
        <v>2811</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1">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1">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Worgen Claw Necklace</v>
      </c>
    </row>
    <row r="21" spans="1:25" s="62" customFormat="1" ht="12.75">
      <c r="A21" s="10" t="s">
        <v>2484</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1">
        <f>($D21*dpsStr+$E21*dpsAgi+$G21*dpsCrit+$H21*dpsHit+$F21*dpsAP+$I21*dpsHaste+$J21*dpsArmor+$K21*dpsExp+IF(MID($Q21,1,1)+MID($Q21,3,1)+MID($Q21,5,1)&gt;0,VLOOKUP('Gear &amp; Buffs'!$B$33,GenSocketStats,18,FALSE)+IF(MID($Q21,1,1)+MID($Q21,3,1)+MID($Q21,5,1)&gt;1,VLOOKUP('Gear &amp; Buffs'!$B$34,GenSocketStats,18,FALSE),0),0))-'Gear &amp; Buffs'!$AF$32</f>
        <v>-86.22186354917585</v>
      </c>
      <c r="V21" s="221">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(Unmodeled)</v>
      </c>
      <c r="Y21" s="47"/>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1">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1">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c r="Y22" s="47"/>
    </row>
    <row r="23" spans="1:25" s="62" customFormat="1" ht="12.75">
      <c r="A23" s="130" t="s">
        <v>2485</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1">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1">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c r="Y23" s="47"/>
    </row>
    <row r="24" spans="1:25" s="47" customFormat="1">
      <c r="A24" s="10" t="s">
        <v>2029</v>
      </c>
      <c r="B24" s="116">
        <v>34679</v>
      </c>
      <c r="C24" s="116">
        <v>5</v>
      </c>
      <c r="D24" s="114"/>
      <c r="E24" s="114">
        <v>18</v>
      </c>
      <c r="F24" s="124">
        <f>64+200*itSSPMAup</f>
        <v>105.70726033493017</v>
      </c>
      <c r="G24" s="116"/>
      <c r="H24" s="116"/>
      <c r="I24" s="116"/>
      <c r="J24" s="114"/>
      <c r="K24" s="116"/>
      <c r="L24" s="114">
        <v>19</v>
      </c>
      <c r="M24" s="116"/>
      <c r="N24" s="114"/>
      <c r="O24" s="116"/>
      <c r="P24" s="114"/>
      <c r="Q24" s="114" t="s">
        <v>1033</v>
      </c>
      <c r="R24" s="114"/>
      <c r="S24" s="114" t="s">
        <v>676</v>
      </c>
      <c r="T24" s="116" t="s">
        <v>977</v>
      </c>
      <c r="U24" s="891">
        <f>($D24*dpsStr+$E24*dpsAgi+$G24*dpsCrit+$H24*dpsHit+$F24*dpsAP+$I24*dpsHaste+$J24*dpsArmor+$K24*dpsExp+IF(MID($Q24,1,1)+MID($Q24,3,1)+MID($Q24,5,1)&gt;0,VLOOKUP('Gear &amp; Buffs'!$B$33,GenSocketStats,18,FALSE)+IF(MID($Q24,1,1)+MID($Q24,3,1)+MID($Q24,5,1)&gt;1,VLOOKUP('Gear &amp; Buffs'!$B$34,GenSocketStats,18,FALSE),0),0))-'Gear &amp; Buffs'!$AF$32</f>
        <v>-78.790475164316575</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c r="Y24" s="48"/>
    </row>
    <row r="25" spans="1:25">
      <c r="A25" s="10" t="s">
        <v>2030</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1">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0" t="s">
        <v>2486</v>
      </c>
      <c r="B26" s="116">
        <v>34680</v>
      </c>
      <c r="C26" s="116">
        <v>5</v>
      </c>
      <c r="D26" s="114"/>
      <c r="E26" s="114"/>
      <c r="F26" s="114"/>
      <c r="G26" s="116"/>
      <c r="H26" s="116">
        <v>13</v>
      </c>
      <c r="I26" s="116"/>
      <c r="J26" s="114"/>
      <c r="K26" s="116">
        <v>18</v>
      </c>
      <c r="L26" s="114">
        <v>48</v>
      </c>
      <c r="M26" s="124">
        <f>100*itSSPRAup</f>
        <v>20.853630167465081</v>
      </c>
      <c r="N26" s="114"/>
      <c r="O26" s="116"/>
      <c r="P26" s="114"/>
      <c r="Q26" s="114" t="s">
        <v>1033</v>
      </c>
      <c r="R26" s="114"/>
      <c r="S26" s="114" t="s">
        <v>676</v>
      </c>
      <c r="T26" s="116" t="s">
        <v>977</v>
      </c>
      <c r="U26" s="891">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2031</v>
      </c>
      <c r="B27" s="116">
        <v>34680</v>
      </c>
      <c r="C27" s="116">
        <v>5</v>
      </c>
      <c r="D27" s="114"/>
      <c r="E27" s="114"/>
      <c r="F27" s="114"/>
      <c r="G27" s="116"/>
      <c r="H27" s="116">
        <v>13</v>
      </c>
      <c r="I27" s="116"/>
      <c r="J27" s="114"/>
      <c r="K27" s="124">
        <f>18+100*itSSPRSup</f>
        <v>38.853630167465084</v>
      </c>
      <c r="L27" s="114">
        <v>48</v>
      </c>
      <c r="M27" s="116"/>
      <c r="N27" s="114"/>
      <c r="O27" s="116"/>
      <c r="P27" s="114"/>
      <c r="Q27" s="114" t="s">
        <v>1033</v>
      </c>
      <c r="R27" s="114"/>
      <c r="S27" s="114" t="s">
        <v>676</v>
      </c>
      <c r="T27" s="116" t="s">
        <v>977</v>
      </c>
      <c r="U27" s="891">
        <f>($D27*dpsStr+$E27*dpsAgi+$G27*dpsCrit+$H27*dpsHit+$F27*dpsAP+$I27*dpsHaste+$J27*dpsArmor+$K27*dpsExp+IF(MID($Q27,1,1)+MID($Q27,3,1)+MID($Q27,5,1)&gt;0,VLOOKUP('Gear &amp; Buffs'!$B$33,GenSocketStats,18,FALSE)+IF(MID($Q27,1,1)+MID($Q27,3,1)+MID($Q27,5,1)&gt;1,VLOOKUP('Gear &amp; Buffs'!$B$34,GenSocketStats,18,FALSE),0),0))-'Gear &amp; Buffs'!$AF$32</f>
        <v>-13.508993071145795</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5">
      <c r="A28" s="10" t="s">
        <v>2337</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1">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5">
      <c r="A29" s="10" t="s">
        <v>2487</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1">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1">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8">
        <v>26</v>
      </c>
      <c r="X29" s="714" t="str">
        <f t="shared" si="0"/>
        <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1">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1">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2488</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1">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1">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8">
        <v>29</v>
      </c>
      <c r="X32" s="714" t="str">
        <f t="shared" si="0"/>
        <v/>
      </c>
    </row>
    <row r="33" spans="1:24">
      <c r="A33" s="10" t="s">
        <v>2489</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1">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1">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1">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1">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8">
        <v>32</v>
      </c>
      <c r="X35" s="714" t="str">
        <f t="shared" si="0"/>
        <v/>
      </c>
    </row>
    <row r="36" spans="1:24">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20">
        <f>'Gear &amp; Buffs'!$S$157</f>
        <v>0</v>
      </c>
      <c r="S36" s="116"/>
      <c r="T36" s="114"/>
      <c r="U36" s="891">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1">
        <f>MAX($V$1:V35)+1</f>
        <v>18</v>
      </c>
      <c r="W36" s="738">
        <v>33</v>
      </c>
      <c r="X36" s="714" t="str">
        <f t="shared" si="0"/>
        <v/>
      </c>
    </row>
    <row r="37" spans="1:24">
      <c r="A37" s="126" t="s">
        <v>2207</v>
      </c>
      <c r="B37" s="113"/>
      <c r="C37" s="113"/>
      <c r="D37" s="112"/>
      <c r="E37" s="112"/>
      <c r="F37" s="112"/>
      <c r="G37" s="113"/>
      <c r="H37" s="113"/>
      <c r="I37" s="113"/>
      <c r="J37" s="114"/>
      <c r="K37" s="113"/>
      <c r="L37" s="112"/>
      <c r="M37" s="113"/>
      <c r="N37" s="112"/>
      <c r="O37" s="113"/>
      <c r="P37" s="113"/>
      <c r="Q37" s="114" t="s">
        <v>1033</v>
      </c>
      <c r="R37" s="114"/>
      <c r="S37" s="114"/>
      <c r="T37" s="113"/>
      <c r="U37" s="721"/>
      <c r="V37" s="681"/>
      <c r="W37" s="738">
        <v>34</v>
      </c>
      <c r="X37" s="714" t="str">
        <f t="shared" si="0"/>
        <v/>
      </c>
    </row>
    <row r="38" spans="1:24">
      <c r="R38" s="114"/>
      <c r="S38" s="114"/>
      <c r="T38" s="114"/>
      <c r="V38" s="681"/>
      <c r="W38" s="738">
        <v>35</v>
      </c>
      <c r="X38" s="714" t="str">
        <f t="shared" si="0"/>
        <v/>
      </c>
    </row>
    <row r="39" spans="1:24">
      <c r="R39" s="114"/>
      <c r="S39" s="114"/>
      <c r="T39" s="114"/>
      <c r="W39" s="678"/>
      <c r="X39" s="677"/>
    </row>
    <row r="40" spans="1:24">
      <c r="A40" s="126"/>
      <c r="B40" s="114"/>
      <c r="C40" s="114"/>
      <c r="D40" s="114"/>
      <c r="E40" s="114"/>
      <c r="F40" s="127"/>
      <c r="G40" s="114"/>
      <c r="H40" s="114"/>
      <c r="I40" s="114"/>
      <c r="J40" s="116"/>
      <c r="K40" s="116"/>
      <c r="L40" s="116"/>
      <c r="M40" s="116"/>
      <c r="N40" s="114"/>
      <c r="O40" s="114"/>
      <c r="P40" s="114"/>
      <c r="Q40" s="114"/>
      <c r="R40" s="114"/>
      <c r="S40" s="114"/>
      <c r="T40" s="114"/>
      <c r="V40" s="114"/>
      <c r="W40" s="678"/>
      <c r="X40" s="677"/>
    </row>
    <row r="41" spans="1:24">
      <c r="A41" s="169"/>
      <c r="B41" s="170"/>
      <c r="C41" s="170"/>
      <c r="D41" s="170"/>
      <c r="E41" s="170"/>
      <c r="F41" s="171"/>
      <c r="G41" s="171"/>
      <c r="H41" s="170"/>
      <c r="I41" s="171"/>
      <c r="J41" s="170"/>
      <c r="K41" s="171"/>
      <c r="L41" s="171"/>
      <c r="M41" s="171"/>
      <c r="N41" s="171"/>
      <c r="O41" s="171"/>
      <c r="P41" s="171"/>
      <c r="Q41" s="170"/>
      <c r="R41" s="114"/>
      <c r="S41" s="114"/>
      <c r="T41" s="114"/>
    </row>
    <row r="42" spans="1:24">
      <c r="A42" s="10"/>
      <c r="B42" s="114"/>
      <c r="C42" s="114"/>
      <c r="D42" s="114"/>
      <c r="E42" s="114"/>
      <c r="F42" s="116"/>
      <c r="G42" s="116"/>
      <c r="H42" s="114"/>
      <c r="I42" s="116"/>
      <c r="J42" s="114"/>
      <c r="K42" s="116"/>
      <c r="L42" s="116"/>
      <c r="M42" s="116"/>
      <c r="N42" s="116"/>
      <c r="O42" s="116"/>
      <c r="P42" s="114"/>
      <c r="Q42" s="114"/>
      <c r="R42" s="114"/>
      <c r="S42" s="114"/>
      <c r="T42" s="114"/>
    </row>
    <row r="43" spans="1:24">
      <c r="F43" s="171"/>
      <c r="G43" s="171"/>
      <c r="H43" s="170"/>
      <c r="I43" s="171"/>
      <c r="J43" s="170"/>
      <c r="K43" s="171"/>
      <c r="L43" s="171"/>
      <c r="M43" s="171"/>
      <c r="N43" s="171"/>
      <c r="O43" s="171"/>
      <c r="P43" s="170"/>
      <c r="Q43" s="170"/>
    </row>
    <row r="44" spans="1:24">
      <c r="F44" s="171"/>
      <c r="G44" s="171"/>
      <c r="H44" s="170"/>
      <c r="I44" s="171"/>
      <c r="J44" s="170"/>
      <c r="K44" s="171"/>
      <c r="L44" s="171"/>
      <c r="M44" s="171"/>
      <c r="N44" s="171"/>
      <c r="O44" s="171"/>
      <c r="P44" s="170"/>
      <c r="Q44" s="170"/>
    </row>
    <row r="45" spans="1:24">
      <c r="A45" s="6"/>
      <c r="F45" s="171"/>
      <c r="G45" s="171"/>
      <c r="H45" s="170"/>
      <c r="I45" s="171"/>
      <c r="J45" s="170"/>
      <c r="K45" s="171"/>
      <c r="L45" s="171"/>
      <c r="M45" s="171"/>
      <c r="N45" s="171"/>
      <c r="O45" s="171"/>
      <c r="P45" s="170"/>
      <c r="Q45" s="170"/>
    </row>
    <row r="46" spans="1:24">
      <c r="A46" s="6"/>
      <c r="F46" s="171"/>
      <c r="G46" s="171"/>
      <c r="H46" s="170"/>
      <c r="I46" s="171"/>
      <c r="J46" s="170"/>
      <c r="K46" s="171"/>
      <c r="L46" s="171"/>
      <c r="M46" s="171"/>
      <c r="N46" s="171"/>
      <c r="O46" s="171"/>
      <c r="P46" s="170"/>
      <c r="Q46" s="170"/>
    </row>
    <row r="47" spans="1:24">
      <c r="A47" s="6"/>
      <c r="F47" s="171"/>
      <c r="G47" s="171"/>
      <c r="H47" s="170"/>
      <c r="I47" s="171"/>
      <c r="J47" s="170"/>
      <c r="K47" s="171"/>
      <c r="L47" s="171"/>
      <c r="M47" s="171"/>
      <c r="N47" s="171"/>
      <c r="O47" s="171"/>
      <c r="P47" s="171"/>
      <c r="Q47" s="170"/>
    </row>
    <row r="48" spans="1:24">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topLeftCell="A7" workbookViewId="0">
      <selection activeCell="X4" sqref="X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4"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4"/>
      <c r="U1" s="702" t="s">
        <v>265</v>
      </c>
      <c r="V1" s="743">
        <v>0</v>
      </c>
      <c r="W1" s="743"/>
      <c r="X1" s="700" t="s">
        <v>660</v>
      </c>
    </row>
    <row r="2" spans="1:24">
      <c r="A2" s="695" t="s">
        <v>2812</v>
      </c>
      <c r="B2" s="696">
        <v>30938</v>
      </c>
      <c r="C2" s="696">
        <v>1</v>
      </c>
      <c r="D2" s="696"/>
      <c r="E2" s="696"/>
      <c r="F2" s="696">
        <v>44</v>
      </c>
      <c r="G2" s="697">
        <v>21</v>
      </c>
      <c r="H2" s="697">
        <v>10</v>
      </c>
      <c r="I2" s="696"/>
      <c r="J2" s="696"/>
      <c r="K2" s="696"/>
      <c r="L2" s="696">
        <v>11</v>
      </c>
      <c r="M2" s="697"/>
      <c r="N2" s="697"/>
      <c r="O2" s="696"/>
      <c r="P2" s="696"/>
      <c r="Q2" s="696" t="s">
        <v>1033</v>
      </c>
      <c r="R2" s="696"/>
      <c r="S2" s="696" t="s">
        <v>675</v>
      </c>
      <c r="T2" s="696"/>
      <c r="U2" s="891">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736" t="s">
        <v>1569</v>
      </c>
      <c r="B3" s="696">
        <v>29148</v>
      </c>
      <c r="C3" s="696">
        <v>3</v>
      </c>
      <c r="D3" s="696"/>
      <c r="E3" s="696">
        <v>20</v>
      </c>
      <c r="F3" s="696">
        <v>70</v>
      </c>
      <c r="G3" s="697"/>
      <c r="H3" s="697">
        <v>15</v>
      </c>
      <c r="I3" s="696"/>
      <c r="J3" s="696"/>
      <c r="K3" s="696"/>
      <c r="L3" s="696"/>
      <c r="M3" s="697"/>
      <c r="N3" s="697"/>
      <c r="O3" s="696"/>
      <c r="P3" s="696"/>
      <c r="Q3" s="696" t="s">
        <v>1033</v>
      </c>
      <c r="R3" s="696"/>
      <c r="S3" s="696" t="s">
        <v>676</v>
      </c>
      <c r="T3" s="696"/>
      <c r="U3" s="891">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row>
    <row r="4" spans="1:24">
      <c r="A4" s="677" t="s">
        <v>1445</v>
      </c>
      <c r="B4" s="678">
        <v>28755</v>
      </c>
      <c r="C4" s="678">
        <v>1</v>
      </c>
      <c r="D4" s="678"/>
      <c r="E4" s="678"/>
      <c r="F4" s="678">
        <v>58</v>
      </c>
      <c r="G4" s="679">
        <v>21</v>
      </c>
      <c r="H4" s="679">
        <v>13</v>
      </c>
      <c r="I4" s="678"/>
      <c r="J4" s="678"/>
      <c r="K4" s="678"/>
      <c r="L4" s="678">
        <v>30</v>
      </c>
      <c r="M4" s="679"/>
      <c r="N4" s="679"/>
      <c r="O4" s="678"/>
      <c r="P4" s="678"/>
      <c r="Q4" s="678" t="s">
        <v>1446</v>
      </c>
      <c r="R4" s="678" t="s">
        <v>1447</v>
      </c>
      <c r="S4" s="678" t="s">
        <v>672</v>
      </c>
      <c r="T4" s="678"/>
      <c r="U4" s="891">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 t="shared" ref="X4:X32" si="0">IF(ISNA(INDEX($A$2:$A$30,MATCH(W4,V$2:V$30,0))), "", INDEX($A$2:$A$30,MATCH(W4,V$2:V$30,0)))</f>
        <v>Azurestrike Shoulders</v>
      </c>
    </row>
    <row r="5" spans="1:24">
      <c r="A5" s="677" t="s">
        <v>2338</v>
      </c>
      <c r="B5" s="678">
        <v>22479</v>
      </c>
      <c r="C5" s="678">
        <v>1</v>
      </c>
      <c r="D5" s="678">
        <v>22</v>
      </c>
      <c r="E5" s="678">
        <v>22</v>
      </c>
      <c r="F5" s="678"/>
      <c r="G5" s="679">
        <v>14</v>
      </c>
      <c r="H5" s="679">
        <v>10</v>
      </c>
      <c r="I5" s="678"/>
      <c r="J5" s="678"/>
      <c r="K5" s="678"/>
      <c r="L5" s="678">
        <v>15</v>
      </c>
      <c r="M5" s="679"/>
      <c r="N5" s="679"/>
      <c r="O5" s="678"/>
      <c r="P5" s="678" t="s">
        <v>2335</v>
      </c>
      <c r="Q5" s="678" t="s">
        <v>1033</v>
      </c>
      <c r="R5" s="678"/>
      <c r="S5" s="678" t="s">
        <v>668</v>
      </c>
      <c r="T5" s="678"/>
      <c r="U5" s="891">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8">
        <v>2</v>
      </c>
      <c r="X5" s="714" t="str">
        <f t="shared" si="0"/>
        <v>Bladed Shoulderpads of the Merciless</v>
      </c>
    </row>
    <row r="6" spans="1:24">
      <c r="A6" s="677" t="s">
        <v>1487</v>
      </c>
      <c r="B6" s="678">
        <v>35035</v>
      </c>
      <c r="C6" s="678">
        <v>5</v>
      </c>
      <c r="D6" s="678"/>
      <c r="E6" s="678">
        <v>39</v>
      </c>
      <c r="F6" s="678">
        <v>38</v>
      </c>
      <c r="G6" s="679">
        <v>31</v>
      </c>
      <c r="H6" s="679"/>
      <c r="I6" s="678"/>
      <c r="J6" s="678"/>
      <c r="K6" s="678"/>
      <c r="L6" s="678">
        <v>55</v>
      </c>
      <c r="M6" s="679"/>
      <c r="N6" s="679">
        <v>25</v>
      </c>
      <c r="O6" s="678"/>
      <c r="P6" s="678" t="s">
        <v>1068</v>
      </c>
      <c r="Q6" s="678" t="s">
        <v>1045</v>
      </c>
      <c r="R6" s="678" t="s">
        <v>1452</v>
      </c>
      <c r="S6" s="678" t="s">
        <v>677</v>
      </c>
      <c r="T6" s="678"/>
      <c r="U6" s="891">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Bonescythe Pauldrons</v>
      </c>
    </row>
    <row r="7" spans="1:24">
      <c r="A7" s="677" t="s">
        <v>1448</v>
      </c>
      <c r="B7" s="678">
        <v>30149</v>
      </c>
      <c r="C7" s="678">
        <v>2</v>
      </c>
      <c r="D7" s="678"/>
      <c r="E7" s="678">
        <v>34</v>
      </c>
      <c r="F7" s="678">
        <v>54</v>
      </c>
      <c r="G7" s="679">
        <v>13</v>
      </c>
      <c r="H7" s="679"/>
      <c r="I7" s="678"/>
      <c r="J7" s="678"/>
      <c r="K7" s="678"/>
      <c r="L7" s="678">
        <v>37</v>
      </c>
      <c r="M7" s="679"/>
      <c r="N7" s="679"/>
      <c r="O7" s="678"/>
      <c r="P7" s="678" t="s">
        <v>1063</v>
      </c>
      <c r="Q7" s="678" t="s">
        <v>1037</v>
      </c>
      <c r="R7" s="678" t="s">
        <v>1449</v>
      </c>
      <c r="S7" s="678" t="s">
        <v>680</v>
      </c>
      <c r="T7" s="678"/>
      <c r="U7" s="891">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Expedition Scout's Epaulets</v>
      </c>
    </row>
    <row r="8" spans="1:24">
      <c r="A8" s="677" t="s">
        <v>966</v>
      </c>
      <c r="B8" s="678">
        <v>34392</v>
      </c>
      <c r="C8" s="678">
        <v>5</v>
      </c>
      <c r="D8" s="678">
        <v>38</v>
      </c>
      <c r="E8" s="678">
        <v>38</v>
      </c>
      <c r="F8" s="678"/>
      <c r="G8" s="679">
        <v>20</v>
      </c>
      <c r="H8" s="679"/>
      <c r="I8" s="678"/>
      <c r="J8" s="678">
        <v>105</v>
      </c>
      <c r="K8" s="678"/>
      <c r="L8" s="678">
        <v>38</v>
      </c>
      <c r="M8" s="679"/>
      <c r="N8" s="679"/>
      <c r="O8" s="678"/>
      <c r="P8" s="678"/>
      <c r="Q8" s="678" t="s">
        <v>1037</v>
      </c>
      <c r="R8" s="678" t="s">
        <v>22</v>
      </c>
      <c r="S8" s="678" t="s">
        <v>871</v>
      </c>
      <c r="T8" s="678"/>
      <c r="U8" s="891">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1"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Spaulders</v>
      </c>
    </row>
    <row r="9" spans="1:24">
      <c r="A9" s="677" t="s">
        <v>1450</v>
      </c>
      <c r="B9" s="678">
        <v>25790</v>
      </c>
      <c r="C9" s="678">
        <v>1</v>
      </c>
      <c r="D9" s="678"/>
      <c r="E9" s="678">
        <v>25</v>
      </c>
      <c r="F9" s="678">
        <v>50</v>
      </c>
      <c r="G9" s="679"/>
      <c r="H9" s="679">
        <v>24</v>
      </c>
      <c r="I9" s="678"/>
      <c r="J9" s="678"/>
      <c r="K9" s="678"/>
      <c r="L9" s="678"/>
      <c r="M9" s="679"/>
      <c r="N9" s="679"/>
      <c r="O9" s="678"/>
      <c r="P9" s="678"/>
      <c r="Q9" s="678" t="s">
        <v>1033</v>
      </c>
      <c r="R9" s="678"/>
      <c r="S9" s="678" t="s">
        <v>675</v>
      </c>
      <c r="T9" s="678"/>
      <c r="U9" s="891">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Mantle of Perenolde</v>
      </c>
    </row>
    <row r="10" spans="1:24">
      <c r="A10" s="677" t="s">
        <v>1451</v>
      </c>
      <c r="B10" s="678">
        <v>25832</v>
      </c>
      <c r="C10" s="678">
        <v>1</v>
      </c>
      <c r="D10" s="678"/>
      <c r="E10" s="678">
        <v>29</v>
      </c>
      <c r="F10" s="678">
        <v>18</v>
      </c>
      <c r="G10" s="679">
        <v>21</v>
      </c>
      <c r="H10" s="679"/>
      <c r="I10" s="678"/>
      <c r="J10" s="678"/>
      <c r="K10" s="678"/>
      <c r="L10" s="678">
        <v>39</v>
      </c>
      <c r="M10" s="679"/>
      <c r="N10" s="679">
        <v>23</v>
      </c>
      <c r="O10" s="678"/>
      <c r="P10" s="678" t="s">
        <v>1068</v>
      </c>
      <c r="Q10" s="678" t="s">
        <v>1045</v>
      </c>
      <c r="R10" s="678" t="s">
        <v>1452</v>
      </c>
      <c r="S10" s="678" t="s">
        <v>677</v>
      </c>
      <c r="T10" s="678"/>
      <c r="U10" s="891">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5</v>
      </c>
      <c r="W10" s="738">
        <v>7</v>
      </c>
      <c r="X10" s="714" t="str">
        <f t="shared" si="0"/>
        <v>Mantle of the Unforgiven</v>
      </c>
    </row>
    <row r="11" spans="1:24">
      <c r="A11" s="677" t="s">
        <v>1456</v>
      </c>
      <c r="B11" s="678">
        <v>32377</v>
      </c>
      <c r="C11" s="678">
        <v>3</v>
      </c>
      <c r="D11" s="678"/>
      <c r="E11" s="678"/>
      <c r="F11" s="678">
        <v>94</v>
      </c>
      <c r="G11" s="679">
        <v>33</v>
      </c>
      <c r="H11" s="679">
        <v>22</v>
      </c>
      <c r="I11" s="678"/>
      <c r="J11" s="678"/>
      <c r="K11" s="678"/>
      <c r="L11" s="678">
        <v>34</v>
      </c>
      <c r="M11" s="679"/>
      <c r="N11" s="679"/>
      <c r="O11" s="678"/>
      <c r="P11" s="678"/>
      <c r="Q11" s="678" t="s">
        <v>1033</v>
      </c>
      <c r="R11" s="678"/>
      <c r="S11" s="678" t="s">
        <v>683</v>
      </c>
      <c r="T11" s="678"/>
      <c r="U11" s="891">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Shoulderpads</v>
      </c>
    </row>
    <row r="12" spans="1:24">
      <c r="A12" s="677" t="s">
        <v>1453</v>
      </c>
      <c r="B12" s="678">
        <v>27434</v>
      </c>
      <c r="C12" s="678">
        <v>1</v>
      </c>
      <c r="D12" s="678"/>
      <c r="E12" s="678"/>
      <c r="F12" s="678">
        <v>20</v>
      </c>
      <c r="G12" s="679">
        <v>23</v>
      </c>
      <c r="H12" s="679">
        <v>23</v>
      </c>
      <c r="I12" s="678"/>
      <c r="J12" s="678"/>
      <c r="K12" s="678"/>
      <c r="L12" s="678">
        <v>24</v>
      </c>
      <c r="M12" s="679"/>
      <c r="N12" s="679"/>
      <c r="O12" s="678"/>
      <c r="P12" s="678"/>
      <c r="Q12" s="678" t="s">
        <v>1454</v>
      </c>
      <c r="R12" s="678" t="s">
        <v>1455</v>
      </c>
      <c r="S12" s="678" t="s">
        <v>673</v>
      </c>
      <c r="T12" s="678"/>
      <c r="U12" s="891">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Opportunist's Leather Spaulders</v>
      </c>
    </row>
    <row r="13" spans="1:24">
      <c r="A13" s="683" t="s">
        <v>2339</v>
      </c>
      <c r="B13" s="678">
        <v>32080</v>
      </c>
      <c r="C13" s="678">
        <v>3</v>
      </c>
      <c r="D13" s="678"/>
      <c r="E13" s="678">
        <v>39</v>
      </c>
      <c r="F13" s="678">
        <v>34</v>
      </c>
      <c r="G13" s="679"/>
      <c r="H13" s="679"/>
      <c r="I13" s="678"/>
      <c r="J13" s="678"/>
      <c r="K13" s="678"/>
      <c r="L13" s="678">
        <v>33</v>
      </c>
      <c r="M13" s="679"/>
      <c r="N13" s="679"/>
      <c r="O13" s="678"/>
      <c r="P13" s="678"/>
      <c r="Q13" s="678" t="s">
        <v>1033</v>
      </c>
      <c r="R13" s="678"/>
      <c r="S13" s="678" t="s">
        <v>691</v>
      </c>
      <c r="T13" s="678"/>
      <c r="U13" s="891">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Shoulderpads of Assassination</v>
      </c>
    </row>
    <row r="14" spans="1:24">
      <c r="A14" s="677" t="s">
        <v>2340</v>
      </c>
      <c r="B14" s="678">
        <v>27831</v>
      </c>
      <c r="C14" s="678">
        <v>1</v>
      </c>
      <c r="D14" s="678"/>
      <c r="E14" s="678"/>
      <c r="F14" s="678">
        <v>52</v>
      </c>
      <c r="G14" s="679">
        <v>21</v>
      </c>
      <c r="H14" s="679">
        <v>12</v>
      </c>
      <c r="I14" s="678"/>
      <c r="J14" s="678"/>
      <c r="K14" s="678"/>
      <c r="L14" s="678">
        <v>25</v>
      </c>
      <c r="M14" s="679"/>
      <c r="N14" s="679"/>
      <c r="O14" s="678"/>
      <c r="P14" s="678"/>
      <c r="Q14" s="678" t="s">
        <v>1033</v>
      </c>
      <c r="R14" s="678"/>
      <c r="S14" s="678" t="s">
        <v>691</v>
      </c>
      <c r="T14" s="678"/>
      <c r="U14" s="891">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8">
        <v>11</v>
      </c>
      <c r="X14" s="714" t="str">
        <f t="shared" si="0"/>
        <v>Sun-Gilded Shouldercaps</v>
      </c>
    </row>
    <row r="15" spans="1:24">
      <c r="A15" s="677" t="s">
        <v>1457</v>
      </c>
      <c r="B15" s="678">
        <v>32001</v>
      </c>
      <c r="C15" s="678">
        <v>2</v>
      </c>
      <c r="D15" s="678"/>
      <c r="E15" s="678">
        <v>32</v>
      </c>
      <c r="F15" s="678">
        <v>24</v>
      </c>
      <c r="G15" s="679">
        <v>24</v>
      </c>
      <c r="H15" s="679"/>
      <c r="I15" s="678"/>
      <c r="J15" s="678"/>
      <c r="K15" s="678"/>
      <c r="L15" s="678">
        <v>45</v>
      </c>
      <c r="M15" s="679"/>
      <c r="N15" s="679">
        <v>25</v>
      </c>
      <c r="O15" s="678"/>
      <c r="P15" s="678" t="s">
        <v>1068</v>
      </c>
      <c r="Q15" s="678" t="s">
        <v>1045</v>
      </c>
      <c r="R15" s="678" t="s">
        <v>1452</v>
      </c>
      <c r="S15" s="678" t="s">
        <v>677</v>
      </c>
      <c r="T15" s="678"/>
      <c r="U15" s="891">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Talbuk Hide Spaulders</v>
      </c>
    </row>
    <row r="16" spans="1:24">
      <c r="A16" s="677" t="s">
        <v>1458</v>
      </c>
      <c r="B16" s="678">
        <v>29047</v>
      </c>
      <c r="C16" s="678">
        <v>1</v>
      </c>
      <c r="D16" s="678"/>
      <c r="E16" s="678">
        <v>20</v>
      </c>
      <c r="F16" s="678">
        <v>52</v>
      </c>
      <c r="G16" s="679"/>
      <c r="H16" s="679">
        <v>13</v>
      </c>
      <c r="I16" s="678"/>
      <c r="J16" s="678"/>
      <c r="K16" s="678"/>
      <c r="L16" s="678">
        <v>38</v>
      </c>
      <c r="M16" s="679"/>
      <c r="N16" s="679"/>
      <c r="O16" s="678"/>
      <c r="P16" s="678" t="s">
        <v>1078</v>
      </c>
      <c r="Q16" s="678" t="s">
        <v>1454</v>
      </c>
      <c r="R16" s="678" t="s">
        <v>1459</v>
      </c>
      <c r="S16" s="678" t="s">
        <v>678</v>
      </c>
      <c r="T16" s="678"/>
      <c r="U16" s="891">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Wastewalker Shoulderpads</v>
      </c>
    </row>
    <row r="17" spans="1:31" s="47" customFormat="1">
      <c r="A17" s="677" t="s">
        <v>702</v>
      </c>
      <c r="B17" s="678">
        <v>35369</v>
      </c>
      <c r="C17" s="678">
        <v>1</v>
      </c>
      <c r="D17" s="678"/>
      <c r="E17" s="678">
        <v>13</v>
      </c>
      <c r="F17" s="678">
        <v>22</v>
      </c>
      <c r="G17" s="679">
        <v>11</v>
      </c>
      <c r="H17" s="679"/>
      <c r="I17" s="678"/>
      <c r="J17" s="678"/>
      <c r="K17" s="678"/>
      <c r="L17" s="678">
        <v>31</v>
      </c>
      <c r="M17" s="679"/>
      <c r="N17" s="679">
        <v>13</v>
      </c>
      <c r="O17" s="678"/>
      <c r="P17" s="678" t="s">
        <v>2861</v>
      </c>
      <c r="Q17" s="678" t="s">
        <v>1045</v>
      </c>
      <c r="R17" s="678" t="s">
        <v>1452</v>
      </c>
      <c r="S17" s="678" t="s">
        <v>676</v>
      </c>
      <c r="T17" s="678"/>
      <c r="U17" s="891">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1">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(Unmodeled)</v>
      </c>
    </row>
    <row r="18" spans="1:31" s="47" customFormat="1">
      <c r="A18" s="677" t="s">
        <v>1460</v>
      </c>
      <c r="B18" s="678">
        <v>30917</v>
      </c>
      <c r="C18" s="678">
        <v>3</v>
      </c>
      <c r="D18" s="678"/>
      <c r="E18" s="678">
        <v>28</v>
      </c>
      <c r="F18" s="678">
        <v>76</v>
      </c>
      <c r="G18" s="679">
        <v>23</v>
      </c>
      <c r="H18" s="679"/>
      <c r="I18" s="678"/>
      <c r="J18" s="678"/>
      <c r="K18" s="678"/>
      <c r="L18" s="678">
        <v>55</v>
      </c>
      <c r="M18" s="679"/>
      <c r="N18" s="679"/>
      <c r="O18" s="678"/>
      <c r="P18" s="678"/>
      <c r="Q18" s="678" t="s">
        <v>1033</v>
      </c>
      <c r="R18" s="678"/>
      <c r="S18" s="678" t="s">
        <v>684</v>
      </c>
      <c r="T18" s="678"/>
      <c r="U18" s="891">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
      </c>
    </row>
    <row r="19" spans="1:31" s="47" customFormat="1">
      <c r="A19" s="677" t="s">
        <v>1461</v>
      </c>
      <c r="B19" s="678">
        <v>27776</v>
      </c>
      <c r="C19" s="678">
        <v>1</v>
      </c>
      <c r="D19" s="678"/>
      <c r="E19" s="678">
        <v>25</v>
      </c>
      <c r="F19" s="678">
        <v>42</v>
      </c>
      <c r="G19" s="679"/>
      <c r="H19" s="679"/>
      <c r="I19" s="678"/>
      <c r="J19" s="678"/>
      <c r="K19" s="678"/>
      <c r="L19" s="678">
        <v>25</v>
      </c>
      <c r="M19" s="679"/>
      <c r="N19" s="679"/>
      <c r="O19" s="678"/>
      <c r="P19" s="678" t="s">
        <v>2146</v>
      </c>
      <c r="Q19" s="678" t="s">
        <v>1446</v>
      </c>
      <c r="R19" s="678" t="s">
        <v>1459</v>
      </c>
      <c r="S19" s="678" t="s">
        <v>673</v>
      </c>
      <c r="T19" s="678"/>
      <c r="U19" s="891">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
      </c>
    </row>
    <row r="20" spans="1:31" s="47" customFormat="1">
      <c r="A20" s="677" t="s">
        <v>1302</v>
      </c>
      <c r="B20" s="678">
        <v>33300</v>
      </c>
      <c r="C20" s="678">
        <v>4</v>
      </c>
      <c r="D20" s="678"/>
      <c r="E20" s="678">
        <v>33</v>
      </c>
      <c r="F20" s="678">
        <v>68</v>
      </c>
      <c r="G20" s="679"/>
      <c r="H20" s="679">
        <v>16</v>
      </c>
      <c r="I20" s="678"/>
      <c r="J20" s="678"/>
      <c r="K20" s="678"/>
      <c r="L20" s="678">
        <v>39</v>
      </c>
      <c r="M20" s="679"/>
      <c r="N20" s="679"/>
      <c r="O20" s="678"/>
      <c r="P20" s="678"/>
      <c r="Q20" s="678" t="s">
        <v>1033</v>
      </c>
      <c r="R20" s="678"/>
      <c r="S20" s="678" t="s">
        <v>664</v>
      </c>
      <c r="T20" s="678"/>
      <c r="U20" s="891">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
      </c>
    </row>
    <row r="21" spans="1:31">
      <c r="A21" s="677" t="s">
        <v>1143</v>
      </c>
      <c r="B21" s="678">
        <v>34613</v>
      </c>
      <c r="C21" s="678">
        <v>5</v>
      </c>
      <c r="D21" s="678"/>
      <c r="E21" s="678">
        <v>35</v>
      </c>
      <c r="F21" s="678">
        <v>62</v>
      </c>
      <c r="G21" s="679"/>
      <c r="H21" s="679">
        <v>23</v>
      </c>
      <c r="I21" s="678"/>
      <c r="J21" s="678"/>
      <c r="K21" s="678"/>
      <c r="L21" s="678">
        <v>32</v>
      </c>
      <c r="M21" s="679"/>
      <c r="N21" s="679"/>
      <c r="O21" s="678"/>
      <c r="P21" s="678"/>
      <c r="Q21" s="678" t="s">
        <v>1033</v>
      </c>
      <c r="R21" s="678"/>
      <c r="S21" s="678" t="s">
        <v>691</v>
      </c>
      <c r="T21" s="678"/>
      <c r="U21" s="891">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1"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
      </c>
    </row>
    <row r="22" spans="1:31" s="129" customFormat="1">
      <c r="A22" s="677" t="s">
        <v>1462</v>
      </c>
      <c r="B22" s="678">
        <v>30055</v>
      </c>
      <c r="C22" s="678">
        <v>2</v>
      </c>
      <c r="D22" s="678"/>
      <c r="E22" s="678">
        <v>33</v>
      </c>
      <c r="F22" s="678">
        <v>60</v>
      </c>
      <c r="G22" s="679">
        <v>16</v>
      </c>
      <c r="H22" s="679"/>
      <c r="I22" s="678"/>
      <c r="J22" s="678"/>
      <c r="K22" s="678">
        <v>10</v>
      </c>
      <c r="L22" s="678">
        <v>28</v>
      </c>
      <c r="M22" s="679"/>
      <c r="N22" s="679"/>
      <c r="O22" s="678"/>
      <c r="P22" s="678"/>
      <c r="Q22" s="678" t="s">
        <v>1035</v>
      </c>
      <c r="R22" s="678" t="s">
        <v>1463</v>
      </c>
      <c r="S22" s="678" t="s">
        <v>667</v>
      </c>
      <c r="T22" s="678"/>
      <c r="U22" s="891">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31">
      <c r="A23" s="677" t="s">
        <v>873</v>
      </c>
      <c r="B23" s="678">
        <v>34195</v>
      </c>
      <c r="C23" s="678">
        <v>5</v>
      </c>
      <c r="D23" s="678"/>
      <c r="E23" s="678">
        <v>33</v>
      </c>
      <c r="F23" s="678">
        <v>90</v>
      </c>
      <c r="G23" s="679"/>
      <c r="H23" s="679">
        <v>26</v>
      </c>
      <c r="I23" s="678">
        <v>30</v>
      </c>
      <c r="J23" s="678"/>
      <c r="K23" s="678"/>
      <c r="L23" s="678">
        <v>45</v>
      </c>
      <c r="M23" s="679"/>
      <c r="N23" s="679"/>
      <c r="O23" s="678"/>
      <c r="P23" s="678"/>
      <c r="Q23" s="678" t="s">
        <v>1033</v>
      </c>
      <c r="R23" s="678"/>
      <c r="S23" s="678" t="s">
        <v>871</v>
      </c>
      <c r="T23" s="678"/>
      <c r="U23" s="891">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31">
      <c r="A24" s="677" t="s">
        <v>1464</v>
      </c>
      <c r="B24" s="678">
        <v>31030</v>
      </c>
      <c r="C24" s="678">
        <v>3</v>
      </c>
      <c r="D24" s="678"/>
      <c r="E24" s="678">
        <v>34</v>
      </c>
      <c r="F24" s="678">
        <v>68</v>
      </c>
      <c r="G24" s="679"/>
      <c r="H24" s="679"/>
      <c r="I24" s="678"/>
      <c r="J24" s="678">
        <v>175</v>
      </c>
      <c r="K24" s="678"/>
      <c r="L24" s="678">
        <v>37</v>
      </c>
      <c r="M24" s="679"/>
      <c r="N24" s="679"/>
      <c r="O24" s="678"/>
      <c r="P24" s="678" t="s">
        <v>999</v>
      </c>
      <c r="Q24" s="678" t="s">
        <v>1041</v>
      </c>
      <c r="R24" s="678" t="s">
        <v>1465</v>
      </c>
      <c r="S24" s="678" t="s">
        <v>683</v>
      </c>
      <c r="T24" s="678"/>
      <c r="U24" s="891">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1"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31">
      <c r="A25" s="677" t="s">
        <v>1466</v>
      </c>
      <c r="B25" s="678">
        <v>27995</v>
      </c>
      <c r="C25" s="678">
        <v>1</v>
      </c>
      <c r="D25" s="678"/>
      <c r="E25" s="678">
        <v>25</v>
      </c>
      <c r="F25" s="678">
        <v>48</v>
      </c>
      <c r="G25" s="679"/>
      <c r="H25" s="679">
        <v>15</v>
      </c>
      <c r="I25" s="678"/>
      <c r="J25" s="678"/>
      <c r="K25" s="678"/>
      <c r="L25" s="678">
        <v>26</v>
      </c>
      <c r="M25" s="679"/>
      <c r="N25" s="679"/>
      <c r="O25" s="678"/>
      <c r="P25" s="678"/>
      <c r="Q25" s="678" t="s">
        <v>1033</v>
      </c>
      <c r="R25" s="678"/>
      <c r="S25" s="678" t="s">
        <v>673</v>
      </c>
      <c r="T25" s="678"/>
      <c r="U25" s="891">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11</v>
      </c>
      <c r="W25" s="738">
        <v>22</v>
      </c>
      <c r="X25" s="714" t="str">
        <f t="shared" si="0"/>
        <v/>
      </c>
    </row>
    <row r="26" spans="1:31">
      <c r="A26" s="677" t="s">
        <v>661</v>
      </c>
      <c r="B26" s="678">
        <v>32581</v>
      </c>
      <c r="C26" s="678">
        <v>3</v>
      </c>
      <c r="D26" s="678"/>
      <c r="E26" s="678">
        <v>29</v>
      </c>
      <c r="F26" s="678">
        <v>74</v>
      </c>
      <c r="G26" s="679"/>
      <c r="H26" s="679"/>
      <c r="I26" s="678">
        <v>38</v>
      </c>
      <c r="J26" s="678"/>
      <c r="K26" s="678"/>
      <c r="L26" s="678">
        <v>34</v>
      </c>
      <c r="M26" s="679"/>
      <c r="N26" s="679"/>
      <c r="O26" s="678"/>
      <c r="P26" s="678"/>
      <c r="Q26" s="678" t="s">
        <v>1033</v>
      </c>
      <c r="R26" s="678"/>
      <c r="S26" s="678" t="s">
        <v>687</v>
      </c>
      <c r="T26" s="678"/>
      <c r="U26" s="891">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31">
      <c r="A27" s="677" t="s">
        <v>1467</v>
      </c>
      <c r="B27" s="678">
        <v>29147</v>
      </c>
      <c r="C27" s="678">
        <v>1</v>
      </c>
      <c r="D27" s="678"/>
      <c r="E27" s="678">
        <v>20</v>
      </c>
      <c r="F27" s="678">
        <v>70</v>
      </c>
      <c r="G27" s="679"/>
      <c r="H27" s="679">
        <v>15</v>
      </c>
      <c r="I27" s="678"/>
      <c r="J27" s="678"/>
      <c r="K27" s="678"/>
      <c r="L27" s="678"/>
      <c r="M27" s="679"/>
      <c r="N27" s="679"/>
      <c r="O27" s="678"/>
      <c r="P27" s="678"/>
      <c r="Q27" s="678" t="s">
        <v>1033</v>
      </c>
      <c r="R27" s="678"/>
      <c r="S27" s="678" t="s">
        <v>676</v>
      </c>
      <c r="T27" s="678"/>
      <c r="U27" s="891">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12</v>
      </c>
      <c r="W27" s="738">
        <v>24</v>
      </c>
      <c r="X27" s="714" t="str">
        <f t="shared" si="0"/>
        <v/>
      </c>
    </row>
    <row r="28" spans="1:31">
      <c r="A28" s="724" t="s">
        <v>1526</v>
      </c>
      <c r="B28" s="727">
        <v>33703</v>
      </c>
      <c r="C28" s="727">
        <v>3</v>
      </c>
      <c r="D28" s="727"/>
      <c r="E28" s="727">
        <v>34</v>
      </c>
      <c r="F28" s="727">
        <v>30</v>
      </c>
      <c r="G28" s="728">
        <v>27</v>
      </c>
      <c r="H28" s="728"/>
      <c r="I28" s="727"/>
      <c r="J28" s="727"/>
      <c r="K28" s="727"/>
      <c r="L28" s="727">
        <v>49</v>
      </c>
      <c r="M28" s="728"/>
      <c r="N28" s="728">
        <v>25</v>
      </c>
      <c r="O28" s="727"/>
      <c r="P28" s="727" t="s">
        <v>1068</v>
      </c>
      <c r="Q28" s="727" t="s">
        <v>1045</v>
      </c>
      <c r="R28" s="727" t="s">
        <v>1452</v>
      </c>
      <c r="S28" s="678" t="s">
        <v>677</v>
      </c>
      <c r="T28" s="678"/>
      <c r="U28" s="891">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1"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1" t="s">
        <v>691</v>
      </c>
      <c r="T29" s="678"/>
      <c r="U29" s="891">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13</v>
      </c>
      <c r="W29" s="738">
        <v>26</v>
      </c>
      <c r="X29" s="714" t="str">
        <f t="shared" si="0"/>
        <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20">
        <f>'Gear &amp; Buffs'!$S$158</f>
        <v>0</v>
      </c>
      <c r="S30" s="681"/>
      <c r="T30" s="682"/>
      <c r="U30" s="891">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1">
        <f>MAX($V$1:V29)+1</f>
        <v>14</v>
      </c>
      <c r="W30" s="738">
        <v>27</v>
      </c>
      <c r="X30" s="714" t="str">
        <f t="shared" si="0"/>
        <v/>
      </c>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1"/>
      <c r="T31" s="679"/>
      <c r="U31" s="711"/>
      <c r="V31" s="681"/>
      <c r="W31" s="738">
        <v>28</v>
      </c>
      <c r="X31" s="714" t="str">
        <f t="shared" si="0"/>
        <v/>
      </c>
      <c r="Z31" s="114"/>
      <c r="AA31" s="129"/>
      <c r="AB31" s="129"/>
      <c r="AC31" s="129"/>
    </row>
    <row r="32" spans="1:31">
      <c r="J32" s="114"/>
      <c r="R32" s="114"/>
      <c r="U32" s="220"/>
      <c r="V32" s="681"/>
      <c r="W32" s="738">
        <v>29</v>
      </c>
      <c r="X32" s="714" t="str">
        <f t="shared" si="0"/>
        <v/>
      </c>
      <c r="Z32" s="114"/>
      <c r="AA32" s="129"/>
      <c r="AB32" s="129"/>
      <c r="AC32" s="129"/>
    </row>
    <row r="33" spans="1:29">
      <c r="J33" s="114"/>
      <c r="R33" s="114"/>
      <c r="U33" s="739"/>
      <c r="V33" s="114"/>
      <c r="W33" s="727"/>
      <c r="X33" s="724"/>
      <c r="Z33" s="114"/>
      <c r="AA33" s="129"/>
      <c r="AB33" s="129"/>
      <c r="AC33" s="129"/>
    </row>
    <row r="34" spans="1:29" s="47" customFormat="1" ht="23.25" thickBot="1">
      <c r="A34" s="740" t="s">
        <v>1016</v>
      </c>
      <c r="B34" s="730" t="s">
        <v>1934</v>
      </c>
      <c r="C34" s="730" t="s">
        <v>2798</v>
      </c>
      <c r="D34" s="731" t="s">
        <v>1214</v>
      </c>
      <c r="E34" s="731" t="s">
        <v>1215</v>
      </c>
      <c r="F34" s="731" t="s">
        <v>768</v>
      </c>
      <c r="G34" s="730" t="s">
        <v>2140</v>
      </c>
      <c r="H34" s="730" t="s">
        <v>2139</v>
      </c>
      <c r="I34" s="730" t="s">
        <v>771</v>
      </c>
      <c r="J34" s="732" t="s">
        <v>770</v>
      </c>
      <c r="K34" s="730" t="s">
        <v>760</v>
      </c>
      <c r="L34" s="731" t="s">
        <v>1216</v>
      </c>
      <c r="M34" s="730" t="s">
        <v>264</v>
      </c>
      <c r="N34" s="730" t="s">
        <v>1217</v>
      </c>
      <c r="O34" s="730" t="s">
        <v>1287</v>
      </c>
      <c r="P34" s="730" t="s">
        <v>1046</v>
      </c>
      <c r="Q34" s="731" t="s">
        <v>1047</v>
      </c>
      <c r="R34" s="731" t="s">
        <v>1941</v>
      </c>
      <c r="S34" s="731" t="s">
        <v>666</v>
      </c>
      <c r="T34" s="731" t="s">
        <v>921</v>
      </c>
      <c r="U34" s="733" t="s">
        <v>265</v>
      </c>
      <c r="V34" s="829">
        <v>0</v>
      </c>
      <c r="W34" s="741"/>
      <c r="X34" s="742" t="s">
        <v>1689</v>
      </c>
      <c r="Z34" s="114"/>
      <c r="AA34" s="114"/>
      <c r="AB34" s="114"/>
      <c r="AC34" s="114"/>
    </row>
    <row r="35" spans="1:29">
      <c r="A35" s="695" t="s">
        <v>1477</v>
      </c>
      <c r="B35" s="697">
        <v>2997</v>
      </c>
      <c r="C35" s="697">
        <v>1</v>
      </c>
      <c r="D35" s="696"/>
      <c r="E35" s="696"/>
      <c r="F35" s="696">
        <v>20</v>
      </c>
      <c r="G35" s="697">
        <v>15</v>
      </c>
      <c r="H35" s="697"/>
      <c r="I35" s="697"/>
      <c r="J35" s="697"/>
      <c r="K35" s="697"/>
      <c r="L35" s="696"/>
      <c r="M35" s="697"/>
      <c r="N35" s="697"/>
      <c r="O35" s="697"/>
      <c r="P35" s="697"/>
      <c r="Q35" s="697"/>
      <c r="R35" s="697"/>
      <c r="S35" s="697" t="s">
        <v>1689</v>
      </c>
      <c r="T35" s="697" t="b">
        <v>0</v>
      </c>
      <c r="U35" s="891">
        <f>($D35*dpsStr+$E35*dpsAgi+$G35*dpsCrit+$H35*dpsHit+$F35*dpsAP+$I35*dpsHaste+$J35*dpsArmor+$K35*dpsExp)-'Gear &amp; Buffs'!$AF$36</f>
        <v>-1.4581838496214914</v>
      </c>
      <c r="V35" s="221">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7"/>
      <c r="X35" s="713"/>
      <c r="Z35" s="114"/>
      <c r="AA35" s="129"/>
      <c r="AB35" s="129"/>
      <c r="AC35" s="129"/>
    </row>
    <row r="36" spans="1:29">
      <c r="A36" s="677" t="s">
        <v>663</v>
      </c>
      <c r="B36" s="679">
        <v>2986</v>
      </c>
      <c r="C36" s="679">
        <v>1</v>
      </c>
      <c r="D36" s="678"/>
      <c r="E36" s="678"/>
      <c r="F36" s="678">
        <v>30</v>
      </c>
      <c r="G36" s="679">
        <v>10</v>
      </c>
      <c r="H36" s="679"/>
      <c r="I36" s="679"/>
      <c r="J36" s="679"/>
      <c r="K36" s="679"/>
      <c r="L36" s="678"/>
      <c r="M36" s="679"/>
      <c r="N36" s="679"/>
      <c r="O36" s="679"/>
      <c r="P36" s="679"/>
      <c r="Q36" s="679"/>
      <c r="R36" s="679"/>
      <c r="S36" s="679" t="s">
        <v>1689</v>
      </c>
      <c r="T36" s="679" t="b">
        <v>0</v>
      </c>
      <c r="U36" s="891">
        <f>($D36*dpsStr+$E36*dpsAgi+$G36*dpsCrit+$H36*dpsHit+$F36*dpsAP+$I36*dpsHaste+$J36*dpsArmor+$K36*dpsExp)-'Gear &amp; Buffs'!$AF$36</f>
        <v>-1.3138651186172865</v>
      </c>
      <c r="V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8">
        <v>1</v>
      </c>
      <c r="X36" s="714" t="str">
        <f t="shared" ref="X36:X42" si="1">IF(ISNA(INDEX($A$35:$A$41,MATCH(W36,V$35:V$41,0))), "", INDEX($A$35:$A$41,MATCH(W36,V$35:V$41,0)))</f>
        <v>Greater Inscription of the Blade (15crit 20ap)</v>
      </c>
      <c r="Z36" s="114"/>
      <c r="AA36" s="129"/>
      <c r="AB36" s="129"/>
      <c r="AC36" s="129"/>
    </row>
    <row r="37" spans="1:29">
      <c r="A37" s="677" t="s">
        <v>2159</v>
      </c>
      <c r="B37" s="678">
        <v>2978</v>
      </c>
      <c r="C37" s="678">
        <v>1</v>
      </c>
      <c r="D37" s="678"/>
      <c r="E37" s="678"/>
      <c r="F37" s="678"/>
      <c r="G37" s="679"/>
      <c r="H37" s="679"/>
      <c r="I37" s="679"/>
      <c r="J37" s="679"/>
      <c r="K37" s="679"/>
      <c r="L37" s="678"/>
      <c r="M37" s="679">
        <v>15</v>
      </c>
      <c r="N37" s="679"/>
      <c r="O37" s="679">
        <v>10</v>
      </c>
      <c r="P37" s="679"/>
      <c r="Q37" s="679"/>
      <c r="R37" s="678"/>
      <c r="S37" s="679" t="s">
        <v>1689</v>
      </c>
      <c r="T37" s="679" t="b">
        <v>1</v>
      </c>
      <c r="U37" s="891">
        <f>($D37*dpsStr+$E37*dpsAgi+$G37*dpsCrit+$H37*dpsHit+$F37*dpsAP+$I37*dpsHaste+$J37*dpsArmor+$K37*dpsExp)-'Gear &amp; Buffs'!$AF$36</f>
        <v>-18.891728949367007</v>
      </c>
      <c r="V37" s="221"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8">
        <v>2</v>
      </c>
      <c r="X37" s="714" t="str">
        <f t="shared" si="1"/>
        <v>Greater Inscription of Vengeance (10crit 30ap)</v>
      </c>
      <c r="Z37" s="114"/>
    </row>
    <row r="38" spans="1:29">
      <c r="A38" s="677" t="s">
        <v>1409</v>
      </c>
      <c r="B38" s="679">
        <v>2996</v>
      </c>
      <c r="C38" s="679">
        <v>1</v>
      </c>
      <c r="D38" s="678"/>
      <c r="E38" s="678"/>
      <c r="F38" s="678"/>
      <c r="G38" s="679">
        <v>13</v>
      </c>
      <c r="H38" s="679"/>
      <c r="I38" s="679"/>
      <c r="J38" s="679"/>
      <c r="K38" s="679"/>
      <c r="L38" s="678"/>
      <c r="M38" s="679"/>
      <c r="N38" s="679"/>
      <c r="O38" s="679"/>
      <c r="P38" s="679"/>
      <c r="Q38" s="679"/>
      <c r="R38" s="679"/>
      <c r="S38" s="679" t="s">
        <v>1689</v>
      </c>
      <c r="T38" s="679" t="b">
        <v>0</v>
      </c>
      <c r="U38" s="891">
        <f>($D38*dpsStr+$E38*dpsAgi+$G38*dpsCrit+$H38*dpsHit+$F38*dpsAP+$I38*dpsHaste+$J38*dpsArmor+$K38*dpsExp)-'Gear &amp; Buffs'!$AF$36</f>
        <v>-9.9763769777437119</v>
      </c>
      <c r="V38" s="221">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8">
        <v>3</v>
      </c>
      <c r="X38" s="714" t="str">
        <f t="shared" si="1"/>
        <v>Inscription of the Blade(13crit)</v>
      </c>
    </row>
    <row r="39" spans="1:29">
      <c r="A39" s="677" t="s">
        <v>1476</v>
      </c>
      <c r="B39" s="679">
        <v>2983</v>
      </c>
      <c r="C39" s="679">
        <v>1</v>
      </c>
      <c r="D39" s="678"/>
      <c r="E39" s="678"/>
      <c r="F39" s="678">
        <v>26</v>
      </c>
      <c r="G39" s="679"/>
      <c r="H39" s="679"/>
      <c r="I39" s="679"/>
      <c r="J39" s="679"/>
      <c r="K39" s="679"/>
      <c r="L39" s="678"/>
      <c r="M39" s="679"/>
      <c r="N39" s="679"/>
      <c r="O39" s="679"/>
      <c r="P39" s="679"/>
      <c r="Q39" s="679"/>
      <c r="R39" s="679"/>
      <c r="S39" s="679" t="s">
        <v>1689</v>
      </c>
      <c r="T39" s="679" t="b">
        <v>0</v>
      </c>
      <c r="U39" s="891">
        <f>($D39*dpsStr+$E39*dpsAgi+$G39*dpsCrit+$H39*dpsHit+$F39*dpsAP+$I39*dpsHaste+$J39*dpsArmor+$K39*dpsExp)-'Gear &amp; Buffs'!$AF$36</f>
        <v>-9.6011482771327792</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8">
        <v>4</v>
      </c>
      <c r="X39" s="714" t="str">
        <f t="shared" si="1"/>
        <v>Inscription of Vengeance (26ap)</v>
      </c>
    </row>
    <row r="40" spans="1:29">
      <c r="A40" s="677" t="s">
        <v>1018</v>
      </c>
      <c r="B40" s="679">
        <v>2717</v>
      </c>
      <c r="C40" s="679">
        <v>1</v>
      </c>
      <c r="D40" s="678"/>
      <c r="E40" s="678"/>
      <c r="F40" s="678">
        <v>26</v>
      </c>
      <c r="G40" s="679">
        <v>14</v>
      </c>
      <c r="H40" s="679"/>
      <c r="I40" s="679"/>
      <c r="J40" s="679"/>
      <c r="K40" s="679"/>
      <c r="L40" s="678"/>
      <c r="M40" s="679"/>
      <c r="N40" s="679"/>
      <c r="O40" s="679"/>
      <c r="P40" s="679"/>
      <c r="Q40" s="679"/>
      <c r="R40" s="679"/>
      <c r="S40" s="679" t="s">
        <v>668</v>
      </c>
      <c r="T40" s="679" t="b">
        <v>0</v>
      </c>
      <c r="U40" s="891">
        <f>($D40*dpsStr+$E40*dpsAgi+$G40*dpsCrit+$H40*dpsHit+$F40*dpsAP+$I40*dpsHaste+$J40*dpsArmor+$K40*dpsExp)-'Gear &amp; Buffs'!$AF$36</f>
        <v>0</v>
      </c>
      <c r="V40" s="221">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8">
        <v>5</v>
      </c>
      <c r="X40" s="714" t="str">
        <f t="shared" si="1"/>
        <v>Might of the Scourge (14crit 26ap)</v>
      </c>
    </row>
    <row r="41" spans="1:29">
      <c r="A41" s="677" t="s">
        <v>744</v>
      </c>
      <c r="B41" s="679">
        <v>2606</v>
      </c>
      <c r="C41" s="679">
        <v>1</v>
      </c>
      <c r="D41" s="678"/>
      <c r="E41" s="678"/>
      <c r="F41" s="678">
        <v>30</v>
      </c>
      <c r="G41" s="679"/>
      <c r="H41" s="679"/>
      <c r="I41" s="679"/>
      <c r="J41" s="679"/>
      <c r="K41" s="679"/>
      <c r="L41" s="678"/>
      <c r="M41" s="679"/>
      <c r="N41" s="679"/>
      <c r="O41" s="679"/>
      <c r="P41" s="679"/>
      <c r="Q41" s="679"/>
      <c r="R41" s="679"/>
      <c r="S41" s="679" t="s">
        <v>668</v>
      </c>
      <c r="T41" s="679" t="b">
        <v>0</v>
      </c>
      <c r="U41" s="891">
        <f>($D41*dpsStr+$E41*dpsAgi+$G41*dpsCrit+$H41*dpsHit+$F41*dpsAP+$I41*dpsHaste+$J41*dpsArmor+$K41*dpsExp)-'Gear &amp; Buffs'!$AF$36</f>
        <v>-8.1718281737121288</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8">
        <v>6</v>
      </c>
      <c r="X41" s="714" t="str">
        <f t="shared" si="1"/>
        <v>Zandalar Signet of Might (30ap)</v>
      </c>
    </row>
    <row r="42" spans="1:29">
      <c r="A42" s="677" t="s">
        <v>2207</v>
      </c>
      <c r="B42" s="679"/>
      <c r="C42" s="679"/>
      <c r="D42" s="678"/>
      <c r="E42" s="678"/>
      <c r="F42" s="678"/>
      <c r="G42" s="679"/>
      <c r="H42" s="679"/>
      <c r="I42" s="679"/>
      <c r="J42" s="679"/>
      <c r="K42" s="679"/>
      <c r="L42" s="678"/>
      <c r="M42" s="679"/>
      <c r="N42" s="679"/>
      <c r="O42" s="679"/>
      <c r="P42" s="679"/>
      <c r="Q42" s="679"/>
      <c r="R42" s="679"/>
      <c r="S42" s="679"/>
      <c r="T42" s="679"/>
      <c r="U42" s="718"/>
      <c r="V42" s="116"/>
      <c r="W42" s="738">
        <v>7</v>
      </c>
      <c r="X42" s="714" t="str">
        <f t="shared" si="1"/>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X118"/>
  <sheetViews>
    <sheetView topLeftCell="A22" workbookViewId="0">
      <selection activeCell="X4" sqref="X4"/>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4" s="725"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669</v>
      </c>
    </row>
    <row r="2" spans="1:24">
      <c r="A2" s="695" t="s">
        <v>1410</v>
      </c>
      <c r="B2" s="696">
        <v>27878</v>
      </c>
      <c r="C2" s="696">
        <v>1</v>
      </c>
      <c r="D2" s="696"/>
      <c r="E2" s="696">
        <v>15</v>
      </c>
      <c r="F2" s="696">
        <v>36</v>
      </c>
      <c r="G2" s="696"/>
      <c r="H2" s="696">
        <v>17</v>
      </c>
      <c r="I2" s="696"/>
      <c r="J2" s="696"/>
      <c r="K2" s="696"/>
      <c r="L2" s="696">
        <v>15</v>
      </c>
      <c r="M2" s="696"/>
      <c r="N2" s="696"/>
      <c r="O2" s="696"/>
      <c r="P2" s="696"/>
      <c r="Q2" s="696" t="s">
        <v>1033</v>
      </c>
      <c r="R2" s="696"/>
      <c r="S2" s="696" t="s">
        <v>691</v>
      </c>
      <c r="T2" s="696"/>
      <c r="U2" s="891">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1411</v>
      </c>
      <c r="B3" s="678">
        <v>30729</v>
      </c>
      <c r="C3" s="678">
        <v>1</v>
      </c>
      <c r="D3" s="678"/>
      <c r="E3" s="678"/>
      <c r="F3" s="678">
        <v>60</v>
      </c>
      <c r="G3" s="678">
        <v>30</v>
      </c>
      <c r="H3" s="678"/>
      <c r="I3" s="678"/>
      <c r="J3" s="678"/>
      <c r="K3" s="678"/>
      <c r="L3" s="678"/>
      <c r="M3" s="678"/>
      <c r="N3" s="678"/>
      <c r="O3" s="678"/>
      <c r="P3" s="678"/>
      <c r="Q3" s="678" t="s">
        <v>1033</v>
      </c>
      <c r="R3" s="678"/>
      <c r="S3" s="678" t="s">
        <v>681</v>
      </c>
      <c r="T3" s="678"/>
      <c r="U3" s="891">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1">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677" t="s">
        <v>1412</v>
      </c>
      <c r="B4" s="678">
        <v>29382</v>
      </c>
      <c r="C4" s="678">
        <v>1</v>
      </c>
      <c r="D4" s="678"/>
      <c r="E4" s="678">
        <v>23</v>
      </c>
      <c r="F4" s="678">
        <v>48</v>
      </c>
      <c r="G4" s="678"/>
      <c r="H4" s="678"/>
      <c r="I4" s="678"/>
      <c r="J4" s="678"/>
      <c r="K4" s="678"/>
      <c r="L4" s="678">
        <v>22</v>
      </c>
      <c r="M4" s="678"/>
      <c r="N4" s="678"/>
      <c r="O4" s="678"/>
      <c r="P4" s="678"/>
      <c r="Q4" s="678" t="s">
        <v>1033</v>
      </c>
      <c r="R4" s="678"/>
      <c r="S4" s="678" t="s">
        <v>691</v>
      </c>
      <c r="T4" s="678"/>
      <c r="U4" s="891">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8">
        <v>1</v>
      </c>
      <c r="X4" s="714" t="str">
        <f>IF(ISNA(INDEX($A$2:$A$36,MATCH(W4,V$2:V$36,0))), "", INDEX($A$2:$A$36,MATCH(W4,V$2:V$36,0)))</f>
        <v>Auchenai Death Shroud</v>
      </c>
    </row>
    <row r="5" spans="1:24">
      <c r="A5" s="677" t="s">
        <v>2402</v>
      </c>
      <c r="B5" s="678">
        <v>21701</v>
      </c>
      <c r="C5" s="678">
        <v>1</v>
      </c>
      <c r="D5" s="678">
        <v>11</v>
      </c>
      <c r="E5" s="678">
        <v>16</v>
      </c>
      <c r="F5" s="678"/>
      <c r="G5" s="678"/>
      <c r="H5" s="678">
        <v>10</v>
      </c>
      <c r="I5" s="678"/>
      <c r="J5" s="678"/>
      <c r="K5" s="678"/>
      <c r="L5" s="678">
        <v>15</v>
      </c>
      <c r="M5" s="678"/>
      <c r="N5" s="678"/>
      <c r="O5" s="678"/>
      <c r="P5" s="678"/>
      <c r="Q5" s="678" t="s">
        <v>1033</v>
      </c>
      <c r="R5" s="678"/>
      <c r="S5" s="678" t="s">
        <v>668</v>
      </c>
      <c r="T5" s="678"/>
      <c r="U5" s="891">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8">
        <v>2</v>
      </c>
      <c r="X5" s="714" t="str">
        <f t="shared" ref="X5:X38" si="0">IF(ISNA(INDEX($A$2:$A$36,MATCH(W5,V$2:V$36,0))), "", INDEX($A$2:$A$36,MATCH(W5,V$2:V$36,0)))</f>
        <v>Black-Iron Battlecloak</v>
      </c>
    </row>
    <row r="6" spans="1:24">
      <c r="A6" s="683" t="s">
        <v>1472</v>
      </c>
      <c r="B6" s="678">
        <v>33122</v>
      </c>
      <c r="C6" s="678">
        <v>3</v>
      </c>
      <c r="D6" s="678">
        <v>23</v>
      </c>
      <c r="E6" s="678"/>
      <c r="F6" s="678"/>
      <c r="G6" s="678">
        <v>24</v>
      </c>
      <c r="H6" s="678"/>
      <c r="I6" s="678"/>
      <c r="J6" s="678"/>
      <c r="K6" s="678"/>
      <c r="L6" s="678">
        <v>25</v>
      </c>
      <c r="M6" s="678"/>
      <c r="N6" s="678"/>
      <c r="O6" s="678"/>
      <c r="P6" s="678"/>
      <c r="Q6" s="678" t="s">
        <v>1039</v>
      </c>
      <c r="R6" s="678" t="s">
        <v>1473</v>
      </c>
      <c r="S6" s="678" t="s">
        <v>676</v>
      </c>
      <c r="T6" s="678"/>
      <c r="U6" s="891">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Blood Knight War Cloak</v>
      </c>
    </row>
    <row r="7" spans="1:24">
      <c r="A7" s="677" t="s">
        <v>545</v>
      </c>
      <c r="B7" s="678">
        <v>33590</v>
      </c>
      <c r="C7" s="678">
        <v>4</v>
      </c>
      <c r="D7" s="678"/>
      <c r="E7" s="678">
        <v>20</v>
      </c>
      <c r="F7" s="678">
        <v>46</v>
      </c>
      <c r="G7" s="678"/>
      <c r="H7" s="678"/>
      <c r="I7" s="678">
        <v>25</v>
      </c>
      <c r="J7" s="678"/>
      <c r="K7" s="678"/>
      <c r="L7" s="678">
        <v>22</v>
      </c>
      <c r="M7" s="678"/>
      <c r="N7" s="678"/>
      <c r="O7" s="678"/>
      <c r="P7" s="678"/>
      <c r="Q7" s="678" t="s">
        <v>1033</v>
      </c>
      <c r="R7" s="678"/>
      <c r="S7" s="678" t="s">
        <v>664</v>
      </c>
      <c r="T7" s="678"/>
      <c r="U7" s="891">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Cloak of Concentrated Hatred</v>
      </c>
    </row>
    <row r="8" spans="1:24">
      <c r="A8" s="677" t="s">
        <v>2386</v>
      </c>
      <c r="B8" s="678">
        <v>25965</v>
      </c>
      <c r="C8" s="678">
        <v>1</v>
      </c>
      <c r="D8" s="678"/>
      <c r="E8" s="678">
        <v>11</v>
      </c>
      <c r="F8" s="678">
        <v>22</v>
      </c>
      <c r="G8" s="678"/>
      <c r="H8" s="678">
        <v>11</v>
      </c>
      <c r="I8" s="678"/>
      <c r="J8" s="678"/>
      <c r="K8" s="678"/>
      <c r="L8" s="678">
        <v>16</v>
      </c>
      <c r="M8" s="678"/>
      <c r="N8" s="678"/>
      <c r="O8" s="678"/>
      <c r="P8" s="678"/>
      <c r="Q8" s="678" t="s">
        <v>1033</v>
      </c>
      <c r="R8" s="678"/>
      <c r="S8" s="678" t="s">
        <v>675</v>
      </c>
      <c r="T8" s="678"/>
      <c r="U8" s="891">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8">
        <v>5</v>
      </c>
      <c r="X8" s="714" t="str">
        <f t="shared" si="0"/>
        <v>Cloak of Grasping Talons</v>
      </c>
    </row>
    <row r="9" spans="1:24">
      <c r="A9" s="677" t="s">
        <v>2387</v>
      </c>
      <c r="B9" s="678">
        <v>27423</v>
      </c>
      <c r="C9" s="678">
        <v>1</v>
      </c>
      <c r="D9" s="678"/>
      <c r="E9" s="678">
        <v>18</v>
      </c>
      <c r="F9" s="678">
        <v>40</v>
      </c>
      <c r="G9" s="678"/>
      <c r="H9" s="678"/>
      <c r="I9" s="678"/>
      <c r="J9" s="678"/>
      <c r="K9" s="678"/>
      <c r="L9" s="678">
        <v>19</v>
      </c>
      <c r="M9" s="678"/>
      <c r="N9" s="678"/>
      <c r="O9" s="678"/>
      <c r="P9" s="678"/>
      <c r="Q9" s="678" t="s">
        <v>1033</v>
      </c>
      <c r="R9" s="678"/>
      <c r="S9" s="678" t="s">
        <v>673</v>
      </c>
      <c r="T9" s="678"/>
      <c r="U9" s="891">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8">
        <v>6</v>
      </c>
      <c r="X9" s="714" t="str">
        <f t="shared" si="0"/>
        <v>Cloak of Impulsiveness</v>
      </c>
    </row>
    <row r="10" spans="1:24">
      <c r="A10" s="677" t="s">
        <v>1413</v>
      </c>
      <c r="B10" s="678">
        <v>27519</v>
      </c>
      <c r="C10" s="678">
        <v>1</v>
      </c>
      <c r="D10" s="678"/>
      <c r="E10" s="678">
        <v>21</v>
      </c>
      <c r="F10" s="678">
        <v>38</v>
      </c>
      <c r="G10" s="678"/>
      <c r="H10" s="678"/>
      <c r="I10" s="678"/>
      <c r="J10" s="678"/>
      <c r="K10" s="678"/>
      <c r="L10" s="678">
        <v>18</v>
      </c>
      <c r="M10" s="678"/>
      <c r="N10" s="678"/>
      <c r="O10" s="678"/>
      <c r="P10" s="678"/>
      <c r="Q10" s="678" t="s">
        <v>1033</v>
      </c>
      <c r="R10" s="678"/>
      <c r="S10" s="678" t="s">
        <v>673</v>
      </c>
      <c r="T10" s="678"/>
      <c r="U10" s="891">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8">
        <v>7</v>
      </c>
      <c r="X10" s="714" t="str">
        <f t="shared" si="0"/>
        <v>Cloak of Malice</v>
      </c>
    </row>
    <row r="11" spans="1:24">
      <c r="A11" s="677" t="s">
        <v>11</v>
      </c>
      <c r="B11" s="678">
        <v>34708</v>
      </c>
      <c r="C11" s="678">
        <v>5</v>
      </c>
      <c r="D11" s="678"/>
      <c r="E11" s="678"/>
      <c r="F11" s="678">
        <v>38</v>
      </c>
      <c r="G11" s="678"/>
      <c r="H11" s="678">
        <v>12</v>
      </c>
      <c r="I11" s="678">
        <v>18</v>
      </c>
      <c r="J11" s="678"/>
      <c r="K11" s="678"/>
      <c r="L11" s="678">
        <v>18</v>
      </c>
      <c r="M11" s="678"/>
      <c r="N11" s="678"/>
      <c r="O11" s="678"/>
      <c r="P11" s="678"/>
      <c r="Q11" s="678" t="s">
        <v>1033</v>
      </c>
      <c r="R11" s="678"/>
      <c r="S11" s="678" t="s">
        <v>673</v>
      </c>
      <c r="T11" s="678"/>
      <c r="U11" s="891">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Cloak of the Craft</v>
      </c>
    </row>
    <row r="12" spans="1:24">
      <c r="A12" s="677" t="s">
        <v>884</v>
      </c>
      <c r="B12" s="678">
        <v>31255</v>
      </c>
      <c r="C12" s="678">
        <v>1</v>
      </c>
      <c r="D12" s="678"/>
      <c r="E12" s="678">
        <v>23</v>
      </c>
      <c r="F12" s="678">
        <v>20</v>
      </c>
      <c r="G12" s="678"/>
      <c r="H12" s="678">
        <v>13</v>
      </c>
      <c r="I12" s="678"/>
      <c r="J12" s="678"/>
      <c r="K12" s="678"/>
      <c r="L12" s="678"/>
      <c r="M12" s="678"/>
      <c r="N12" s="678"/>
      <c r="O12" s="678"/>
      <c r="P12" s="678"/>
      <c r="Q12" s="678" t="s">
        <v>1033</v>
      </c>
      <c r="R12" s="678"/>
      <c r="S12" s="678" t="s">
        <v>674</v>
      </c>
      <c r="T12" s="678"/>
      <c r="U12" s="891">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8</v>
      </c>
      <c r="W12" s="738">
        <v>9</v>
      </c>
      <c r="X12" s="714" t="str">
        <f t="shared" si="0"/>
        <v>Cloak of the Inciter</v>
      </c>
    </row>
    <row r="13" spans="1:24">
      <c r="A13" s="677" t="s">
        <v>885</v>
      </c>
      <c r="B13" s="678">
        <v>27892</v>
      </c>
      <c r="C13" s="678">
        <v>1</v>
      </c>
      <c r="D13" s="678"/>
      <c r="E13" s="678"/>
      <c r="F13" s="678">
        <v>30</v>
      </c>
      <c r="G13" s="678">
        <v>18</v>
      </c>
      <c r="H13" s="678">
        <v>16</v>
      </c>
      <c r="I13" s="678"/>
      <c r="J13" s="678"/>
      <c r="K13" s="678"/>
      <c r="L13" s="678">
        <v>15</v>
      </c>
      <c r="M13" s="678"/>
      <c r="N13" s="678"/>
      <c r="O13" s="678"/>
      <c r="P13" s="678"/>
      <c r="Q13" s="678" t="s">
        <v>1033</v>
      </c>
      <c r="R13" s="678"/>
      <c r="S13" s="678" t="s">
        <v>673</v>
      </c>
      <c r="T13" s="678"/>
      <c r="U13" s="891">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1">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9</v>
      </c>
      <c r="W13" s="738">
        <v>10</v>
      </c>
      <c r="X13" s="714" t="str">
        <f t="shared" si="0"/>
        <v>Cloak of the Pit Stalker</v>
      </c>
    </row>
    <row r="14" spans="1:24" s="47" customFormat="1">
      <c r="A14" s="677" t="s">
        <v>886</v>
      </c>
      <c r="B14" s="678">
        <v>28777</v>
      </c>
      <c r="C14" s="678">
        <v>1</v>
      </c>
      <c r="D14" s="678"/>
      <c r="E14" s="678"/>
      <c r="F14" s="678">
        <v>56</v>
      </c>
      <c r="G14" s="678">
        <v>24</v>
      </c>
      <c r="H14" s="678"/>
      <c r="I14" s="678"/>
      <c r="J14" s="678"/>
      <c r="K14" s="678"/>
      <c r="L14" s="678">
        <v>28</v>
      </c>
      <c r="M14" s="678"/>
      <c r="N14" s="678"/>
      <c r="O14" s="678"/>
      <c r="P14" s="678"/>
      <c r="Q14" s="678" t="s">
        <v>1033</v>
      </c>
      <c r="R14" s="678"/>
      <c r="S14" s="678" t="s">
        <v>679</v>
      </c>
      <c r="T14" s="678"/>
      <c r="U14" s="891">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10</v>
      </c>
      <c r="W14" s="738">
        <v>11</v>
      </c>
      <c r="X14" s="714" t="str">
        <f t="shared" si="0"/>
        <v>Consortium Cloak of the Quick</v>
      </c>
    </row>
    <row r="15" spans="1:24">
      <c r="A15" s="677" t="s">
        <v>1730</v>
      </c>
      <c r="B15" s="678">
        <v>34241</v>
      </c>
      <c r="C15" s="678">
        <v>5</v>
      </c>
      <c r="D15" s="678"/>
      <c r="E15" s="678">
        <v>26</v>
      </c>
      <c r="F15" s="678">
        <v>72</v>
      </c>
      <c r="G15" s="678"/>
      <c r="H15" s="678"/>
      <c r="I15" s="678">
        <v>32</v>
      </c>
      <c r="J15" s="678"/>
      <c r="K15" s="678"/>
      <c r="L15" s="678">
        <v>25</v>
      </c>
      <c r="M15" s="678"/>
      <c r="N15" s="678"/>
      <c r="O15" s="678"/>
      <c r="P15" s="678"/>
      <c r="Q15" s="678" t="s">
        <v>1043</v>
      </c>
      <c r="R15" s="678" t="s">
        <v>1066</v>
      </c>
      <c r="S15" s="678" t="s">
        <v>871</v>
      </c>
      <c r="T15" s="678"/>
      <c r="U15" s="891">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Dawnstrike's Cloak</v>
      </c>
    </row>
    <row r="16" spans="1:24">
      <c r="A16" s="677" t="s">
        <v>887</v>
      </c>
      <c r="B16" s="678">
        <v>25927</v>
      </c>
      <c r="C16" s="678">
        <v>1</v>
      </c>
      <c r="D16" s="678"/>
      <c r="E16" s="678">
        <v>14</v>
      </c>
      <c r="F16" s="678">
        <v>26</v>
      </c>
      <c r="G16" s="678"/>
      <c r="H16" s="678">
        <v>14</v>
      </c>
      <c r="I16" s="678"/>
      <c r="J16" s="678"/>
      <c r="K16" s="678"/>
      <c r="L16" s="678"/>
      <c r="M16" s="678"/>
      <c r="N16" s="678"/>
      <c r="O16" s="678"/>
      <c r="P16" s="678"/>
      <c r="Q16" s="678" t="s">
        <v>1033</v>
      </c>
      <c r="R16" s="678"/>
      <c r="S16" s="678" t="s">
        <v>675</v>
      </c>
      <c r="T16" s="678"/>
      <c r="U16" s="891">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11</v>
      </c>
      <c r="W16" s="738">
        <v>13</v>
      </c>
      <c r="X16" s="714" t="str">
        <f t="shared" si="0"/>
        <v>Delicate Green Poncho</v>
      </c>
    </row>
    <row r="17" spans="1:24">
      <c r="A17" s="677" t="s">
        <v>2388</v>
      </c>
      <c r="B17" s="678">
        <v>34190</v>
      </c>
      <c r="C17" s="678">
        <v>5</v>
      </c>
      <c r="D17" s="678"/>
      <c r="E17" s="678"/>
      <c r="F17" s="678"/>
      <c r="G17" s="678"/>
      <c r="H17" s="678"/>
      <c r="I17" s="678"/>
      <c r="J17" s="678"/>
      <c r="K17" s="678">
        <v>28</v>
      </c>
      <c r="L17" s="678">
        <v>61</v>
      </c>
      <c r="M17" s="678">
        <v>28</v>
      </c>
      <c r="N17" s="678"/>
      <c r="O17" s="678"/>
      <c r="P17" s="678"/>
      <c r="Q17" s="678" t="s">
        <v>1033</v>
      </c>
      <c r="R17" s="678"/>
      <c r="S17" s="678" t="s">
        <v>871</v>
      </c>
      <c r="T17" s="678"/>
      <c r="U17" s="891">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Drape of the Dark Reavers</v>
      </c>
    </row>
    <row r="18" spans="1:24">
      <c r="A18" s="683" t="s">
        <v>1146</v>
      </c>
      <c r="B18" s="678">
        <v>32665</v>
      </c>
      <c r="C18" s="678">
        <v>3</v>
      </c>
      <c r="D18" s="678"/>
      <c r="E18" s="678">
        <v>15</v>
      </c>
      <c r="F18" s="678"/>
      <c r="G18" s="678"/>
      <c r="H18" s="678"/>
      <c r="I18" s="678">
        <v>26</v>
      </c>
      <c r="J18" s="678"/>
      <c r="K18" s="678"/>
      <c r="L18" s="678">
        <v>15</v>
      </c>
      <c r="M18" s="678"/>
      <c r="N18" s="678"/>
      <c r="O18" s="678"/>
      <c r="P18" s="678"/>
      <c r="Q18" s="678" t="s">
        <v>1033</v>
      </c>
      <c r="R18" s="678"/>
      <c r="S18" s="678" t="s">
        <v>674</v>
      </c>
      <c r="T18" s="678"/>
      <c r="U18" s="891">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Farstrider Wildercloak</v>
      </c>
    </row>
    <row r="19" spans="1:24">
      <c r="A19" s="677" t="s">
        <v>1614</v>
      </c>
      <c r="B19" s="678">
        <v>29792</v>
      </c>
      <c r="C19" s="678">
        <v>1</v>
      </c>
      <c r="D19" s="678"/>
      <c r="E19" s="678">
        <v>12</v>
      </c>
      <c r="F19" s="678">
        <v>42</v>
      </c>
      <c r="G19" s="678"/>
      <c r="H19" s="678">
        <v>9</v>
      </c>
      <c r="I19" s="678"/>
      <c r="J19" s="678"/>
      <c r="K19" s="678"/>
      <c r="L19" s="678"/>
      <c r="M19" s="678"/>
      <c r="N19" s="678"/>
      <c r="O19" s="678"/>
      <c r="P19" s="678"/>
      <c r="Q19" s="678" t="s">
        <v>1033</v>
      </c>
      <c r="R19" s="678"/>
      <c r="S19" s="678" t="s">
        <v>675</v>
      </c>
      <c r="T19" s="678"/>
      <c r="U19" s="891">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8">
        <v>16</v>
      </c>
      <c r="X19" s="714" t="str">
        <f t="shared" si="0"/>
        <v>Netherfury Cape</v>
      </c>
    </row>
    <row r="20" spans="1:24">
      <c r="A20" s="683" t="s">
        <v>2389</v>
      </c>
      <c r="B20" s="678">
        <v>31942</v>
      </c>
      <c r="C20" s="678">
        <v>3</v>
      </c>
      <c r="D20" s="678"/>
      <c r="E20" s="678">
        <v>18</v>
      </c>
      <c r="F20" s="678">
        <v>42</v>
      </c>
      <c r="G20" s="678"/>
      <c r="H20" s="678"/>
      <c r="I20" s="678"/>
      <c r="J20" s="678"/>
      <c r="K20" s="678"/>
      <c r="L20" s="678">
        <v>27</v>
      </c>
      <c r="M20" s="678"/>
      <c r="N20" s="678"/>
      <c r="O20" s="678"/>
      <c r="P20" s="678"/>
      <c r="Q20" s="678" t="s">
        <v>1033</v>
      </c>
      <c r="R20" s="678"/>
      <c r="S20" s="678" t="s">
        <v>675</v>
      </c>
      <c r="T20" s="678"/>
      <c r="U20" s="891">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Royal Cloak of Arathi Kings</v>
      </c>
    </row>
    <row r="21" spans="1:24">
      <c r="A21" s="677" t="s">
        <v>1615</v>
      </c>
      <c r="B21" s="678">
        <v>28032</v>
      </c>
      <c r="C21" s="678">
        <v>1</v>
      </c>
      <c r="D21" s="678"/>
      <c r="E21" s="678">
        <v>14</v>
      </c>
      <c r="F21" s="678">
        <v>28</v>
      </c>
      <c r="G21" s="678"/>
      <c r="H21" s="678">
        <v>14</v>
      </c>
      <c r="I21" s="678"/>
      <c r="J21" s="678"/>
      <c r="K21" s="678"/>
      <c r="L21" s="678">
        <v>19</v>
      </c>
      <c r="M21" s="678"/>
      <c r="N21" s="678"/>
      <c r="O21" s="678"/>
      <c r="P21" s="678"/>
      <c r="Q21" s="678" t="s">
        <v>1033</v>
      </c>
      <c r="R21" s="678"/>
      <c r="S21" s="678" t="s">
        <v>675</v>
      </c>
      <c r="T21" s="678"/>
      <c r="U21" s="891">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8">
        <v>18</v>
      </c>
      <c r="X21" s="714" t="str">
        <f t="shared" si="0"/>
        <v>Sergeant's Heavy Cloak (H)</v>
      </c>
    </row>
    <row r="22" spans="1:24">
      <c r="A22" s="683" t="s">
        <v>1428</v>
      </c>
      <c r="B22" s="678">
        <v>33484</v>
      </c>
      <c r="C22" s="678">
        <v>4</v>
      </c>
      <c r="D22" s="678"/>
      <c r="E22" s="678"/>
      <c r="F22" s="678">
        <v>46</v>
      </c>
      <c r="G22" s="678">
        <v>20</v>
      </c>
      <c r="H22" s="678"/>
      <c r="I22" s="678"/>
      <c r="J22" s="678">
        <v>112</v>
      </c>
      <c r="K22" s="678"/>
      <c r="L22" s="678">
        <v>34</v>
      </c>
      <c r="M22" s="678"/>
      <c r="N22" s="678">
        <v>20</v>
      </c>
      <c r="O22" s="678"/>
      <c r="P22" s="678"/>
      <c r="Q22" s="678" t="s">
        <v>1033</v>
      </c>
      <c r="R22" s="678"/>
      <c r="S22" s="678" t="s">
        <v>677</v>
      </c>
      <c r="T22" s="678"/>
      <c r="U22" s="891">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Sergeant's Heavy Cloak (A)</v>
      </c>
    </row>
    <row r="23" spans="1:24">
      <c r="A23" s="677" t="s">
        <v>1118</v>
      </c>
      <c r="B23" s="678">
        <v>28672</v>
      </c>
      <c r="C23" s="678">
        <v>1</v>
      </c>
      <c r="D23" s="678"/>
      <c r="E23" s="678">
        <v>24</v>
      </c>
      <c r="F23" s="678">
        <v>34</v>
      </c>
      <c r="G23" s="678"/>
      <c r="H23" s="678">
        <v>17</v>
      </c>
      <c r="I23" s="678"/>
      <c r="J23" s="678"/>
      <c r="K23" s="678"/>
      <c r="L23" s="678">
        <v>21</v>
      </c>
      <c r="M23" s="678"/>
      <c r="N23" s="678"/>
      <c r="O23" s="678"/>
      <c r="P23" s="678"/>
      <c r="Q23" s="678" t="s">
        <v>1033</v>
      </c>
      <c r="R23" s="678"/>
      <c r="S23" s="678" t="s">
        <v>672</v>
      </c>
      <c r="T23" s="678"/>
      <c r="U23" s="891">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1">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Shroud of Dominion</v>
      </c>
    </row>
    <row r="24" spans="1:24">
      <c r="A24" s="677" t="s">
        <v>2490</v>
      </c>
      <c r="B24" s="678">
        <v>28764</v>
      </c>
      <c r="C24" s="678">
        <v>1</v>
      </c>
      <c r="D24" s="678"/>
      <c r="E24" s="678"/>
      <c r="F24" s="678">
        <v>70</v>
      </c>
      <c r="G24" s="678"/>
      <c r="H24" s="678"/>
      <c r="I24" s="678"/>
      <c r="J24" s="678"/>
      <c r="K24" s="678"/>
      <c r="L24" s="678">
        <v>36</v>
      </c>
      <c r="M24" s="678"/>
      <c r="N24" s="678"/>
      <c r="O24" s="678"/>
      <c r="P24" s="678"/>
      <c r="Q24" s="678" t="s">
        <v>1033</v>
      </c>
      <c r="R24" s="678"/>
      <c r="S24" s="678" t="s">
        <v>672</v>
      </c>
      <c r="T24" s="678"/>
      <c r="U24" s="891">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Vengeance Wrap</v>
      </c>
    </row>
    <row r="25" spans="1:24">
      <c r="A25" s="677" t="s">
        <v>1616</v>
      </c>
      <c r="B25" s="678">
        <v>28371</v>
      </c>
      <c r="C25" s="678">
        <v>1</v>
      </c>
      <c r="D25" s="678">
        <v>19</v>
      </c>
      <c r="E25" s="678">
        <v>19</v>
      </c>
      <c r="F25" s="678"/>
      <c r="G25" s="678">
        <v>21</v>
      </c>
      <c r="H25" s="678"/>
      <c r="I25" s="678"/>
      <c r="J25" s="678"/>
      <c r="K25" s="678"/>
      <c r="L25" s="678"/>
      <c r="M25" s="678"/>
      <c r="N25" s="678"/>
      <c r="O25" s="678"/>
      <c r="P25" s="678"/>
      <c r="Q25" s="678" t="s">
        <v>1033</v>
      </c>
      <c r="R25" s="678"/>
      <c r="S25" s="678" t="s">
        <v>673</v>
      </c>
      <c r="T25" s="678"/>
      <c r="U25" s="891">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16</v>
      </c>
      <c r="W25" s="738">
        <v>22</v>
      </c>
      <c r="X25" s="714" t="str">
        <f t="shared" si="0"/>
        <v>(Unmodeled)</v>
      </c>
    </row>
    <row r="26" spans="1:24">
      <c r="A26" s="677" t="s">
        <v>1617</v>
      </c>
      <c r="B26" s="678">
        <v>30098</v>
      </c>
      <c r="C26" s="678">
        <v>2</v>
      </c>
      <c r="D26" s="678">
        <v>33</v>
      </c>
      <c r="E26" s="678">
        <v>23</v>
      </c>
      <c r="F26" s="678"/>
      <c r="G26" s="678"/>
      <c r="H26" s="678"/>
      <c r="I26" s="678"/>
      <c r="J26" s="678"/>
      <c r="K26" s="678"/>
      <c r="L26" s="678">
        <v>22</v>
      </c>
      <c r="M26" s="678"/>
      <c r="N26" s="678"/>
      <c r="O26" s="678"/>
      <c r="P26" s="678"/>
      <c r="Q26" s="678" t="s">
        <v>1033</v>
      </c>
      <c r="R26" s="678"/>
      <c r="S26" s="678" t="s">
        <v>667</v>
      </c>
      <c r="T26" s="678"/>
      <c r="U26" s="891">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2491</v>
      </c>
      <c r="B27" s="678">
        <v>28529</v>
      </c>
      <c r="C27" s="678">
        <v>1</v>
      </c>
      <c r="D27" s="678">
        <v>26</v>
      </c>
      <c r="E27" s="678"/>
      <c r="F27" s="678"/>
      <c r="G27" s="678"/>
      <c r="H27" s="678">
        <v>16</v>
      </c>
      <c r="I27" s="678"/>
      <c r="J27" s="678"/>
      <c r="K27" s="678"/>
      <c r="L27" s="678">
        <v>31</v>
      </c>
      <c r="M27" s="678"/>
      <c r="N27" s="678"/>
      <c r="O27" s="678"/>
      <c r="P27" s="678"/>
      <c r="Q27" s="678" t="s">
        <v>1033</v>
      </c>
      <c r="R27" s="678"/>
      <c r="S27" s="678" t="s">
        <v>672</v>
      </c>
      <c r="T27" s="678"/>
      <c r="U27" s="891">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si="0"/>
        <v/>
      </c>
    </row>
    <row r="28" spans="1:24">
      <c r="A28" s="677" t="s">
        <v>228</v>
      </c>
      <c r="B28" s="678">
        <v>28377</v>
      </c>
      <c r="C28" s="678">
        <v>1</v>
      </c>
      <c r="D28" s="678"/>
      <c r="E28" s="678"/>
      <c r="F28" s="678">
        <v>38</v>
      </c>
      <c r="G28" s="678">
        <v>19</v>
      </c>
      <c r="H28" s="678"/>
      <c r="I28" s="678"/>
      <c r="J28" s="678"/>
      <c r="K28" s="678"/>
      <c r="L28" s="678">
        <v>27</v>
      </c>
      <c r="M28" s="678"/>
      <c r="N28" s="678">
        <v>19</v>
      </c>
      <c r="O28" s="678"/>
      <c r="P28" s="678"/>
      <c r="Q28" s="678" t="s">
        <v>1033</v>
      </c>
      <c r="R28" s="678"/>
      <c r="S28" s="678" t="s">
        <v>677</v>
      </c>
      <c r="T28" s="678"/>
      <c r="U28" s="891">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4">
      <c r="A29" s="677" t="s">
        <v>229</v>
      </c>
      <c r="B29" s="678">
        <v>28380</v>
      </c>
      <c r="C29" s="678">
        <v>1</v>
      </c>
      <c r="D29" s="678"/>
      <c r="E29" s="678"/>
      <c r="F29" s="678">
        <v>38</v>
      </c>
      <c r="G29" s="678">
        <v>19</v>
      </c>
      <c r="H29" s="678"/>
      <c r="I29" s="678"/>
      <c r="J29" s="678"/>
      <c r="K29" s="678"/>
      <c r="L29" s="678">
        <v>27</v>
      </c>
      <c r="M29" s="678"/>
      <c r="N29" s="678">
        <v>19</v>
      </c>
      <c r="O29" s="678"/>
      <c r="P29" s="678"/>
      <c r="Q29" s="678" t="s">
        <v>1033</v>
      </c>
      <c r="R29" s="678"/>
      <c r="S29" s="678" t="s">
        <v>677</v>
      </c>
      <c r="T29" s="678"/>
      <c r="U29" s="891">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4">
      <c r="A30" s="677" t="s">
        <v>1618</v>
      </c>
      <c r="B30" s="678">
        <v>32323</v>
      </c>
      <c r="C30" s="678">
        <v>3</v>
      </c>
      <c r="D30" s="678"/>
      <c r="E30" s="678"/>
      <c r="F30" s="678">
        <v>72</v>
      </c>
      <c r="G30" s="678">
        <v>24</v>
      </c>
      <c r="H30" s="678">
        <v>17</v>
      </c>
      <c r="I30" s="678"/>
      <c r="J30" s="678"/>
      <c r="K30" s="678"/>
      <c r="L30" s="678">
        <v>24</v>
      </c>
      <c r="M30" s="678"/>
      <c r="N30" s="678"/>
      <c r="O30" s="678"/>
      <c r="P30" s="678"/>
      <c r="Q30" s="678" t="s">
        <v>1033</v>
      </c>
      <c r="R30" s="678"/>
      <c r="S30" s="678" t="s">
        <v>683</v>
      </c>
      <c r="T30" s="678"/>
      <c r="U30" s="891">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2390</v>
      </c>
      <c r="B31" s="678">
        <v>23045</v>
      </c>
      <c r="C31" s="678">
        <v>1</v>
      </c>
      <c r="D31" s="678"/>
      <c r="E31" s="678"/>
      <c r="F31" s="678">
        <v>50</v>
      </c>
      <c r="G31" s="678">
        <v>14</v>
      </c>
      <c r="H31" s="678"/>
      <c r="I31" s="678"/>
      <c r="J31" s="678"/>
      <c r="K31" s="678"/>
      <c r="L31" s="678">
        <v>11</v>
      </c>
      <c r="M31" s="678"/>
      <c r="N31" s="678"/>
      <c r="O31" s="678"/>
      <c r="P31" s="678"/>
      <c r="Q31" s="678" t="s">
        <v>1033</v>
      </c>
      <c r="R31" s="678"/>
      <c r="S31" s="678" t="s">
        <v>668</v>
      </c>
      <c r="T31" s="678"/>
      <c r="U31" s="891">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1">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20</v>
      </c>
      <c r="W31" s="738">
        <v>28</v>
      </c>
      <c r="X31" s="714" t="str">
        <f t="shared" si="0"/>
        <v/>
      </c>
    </row>
    <row r="32" spans="1:24">
      <c r="A32" s="683" t="s">
        <v>2083</v>
      </c>
      <c r="B32" s="678">
        <v>32540</v>
      </c>
      <c r="C32" s="678">
        <v>3</v>
      </c>
      <c r="D32" s="678"/>
      <c r="E32" s="678">
        <v>16</v>
      </c>
      <c r="F32" s="678">
        <v>56</v>
      </c>
      <c r="G32" s="678"/>
      <c r="H32" s="678"/>
      <c r="I32" s="678"/>
      <c r="J32" s="678"/>
      <c r="K32" s="678"/>
      <c r="L32" s="678">
        <v>18</v>
      </c>
      <c r="M32" s="678"/>
      <c r="N32" s="678"/>
      <c r="O32" s="678"/>
      <c r="P32" s="678"/>
      <c r="Q32" s="678" t="s">
        <v>1033</v>
      </c>
      <c r="R32" s="678"/>
      <c r="S32" s="678" t="s">
        <v>674</v>
      </c>
      <c r="T32" s="678"/>
      <c r="U32" s="891">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row>
    <row r="33" spans="1:24">
      <c r="A33" s="677" t="s">
        <v>2084</v>
      </c>
      <c r="B33" s="678">
        <v>29994</v>
      </c>
      <c r="C33" s="678">
        <v>2</v>
      </c>
      <c r="D33" s="678"/>
      <c r="E33" s="678">
        <v>28</v>
      </c>
      <c r="F33" s="678">
        <v>68</v>
      </c>
      <c r="G33" s="678"/>
      <c r="H33" s="678"/>
      <c r="I33" s="678"/>
      <c r="J33" s="678"/>
      <c r="K33" s="678"/>
      <c r="L33" s="678">
        <v>28</v>
      </c>
      <c r="M33" s="678"/>
      <c r="N33" s="678"/>
      <c r="O33" s="678"/>
      <c r="P33" s="678"/>
      <c r="Q33" s="678" t="s">
        <v>1033</v>
      </c>
      <c r="R33" s="678"/>
      <c r="S33" s="678" t="s">
        <v>680</v>
      </c>
      <c r="T33" s="678"/>
      <c r="U33" s="891">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745" t="s">
        <v>1355</v>
      </c>
      <c r="B34" s="727">
        <v>35495</v>
      </c>
      <c r="C34" s="727">
        <v>5</v>
      </c>
      <c r="D34" s="727"/>
      <c r="E34" s="727">
        <v>23</v>
      </c>
      <c r="F34" s="727">
        <v>48</v>
      </c>
      <c r="G34" s="727"/>
      <c r="H34" s="727"/>
      <c r="I34" s="727"/>
      <c r="J34" s="727"/>
      <c r="K34" s="727"/>
      <c r="L34" s="727">
        <v>22</v>
      </c>
      <c r="M34" s="727"/>
      <c r="N34" s="727"/>
      <c r="O34" s="727"/>
      <c r="P34" s="727"/>
      <c r="Q34" s="727" t="s">
        <v>1033</v>
      </c>
      <c r="R34" s="727"/>
      <c r="S34" s="727" t="s">
        <v>691</v>
      </c>
      <c r="T34" s="678"/>
      <c r="U34" s="891">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1"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31</v>
      </c>
      <c r="X34" s="714" t="str">
        <f t="shared" si="0"/>
        <v/>
      </c>
    </row>
    <row r="35" spans="1:24">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1"/>
      <c r="U35" s="891">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row>
    <row r="36" spans="1:24">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20">
        <f>'Gear &amp; Buffs'!$S$159</f>
        <v>0</v>
      </c>
      <c r="S36" s="114"/>
      <c r="T36" s="692"/>
      <c r="U36" s="891">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1">
        <f>MAX($V$1:V35)+1</f>
        <v>22</v>
      </c>
      <c r="W36" s="738">
        <v>33</v>
      </c>
      <c r="X36" s="714" t="str">
        <f t="shared" si="0"/>
        <v/>
      </c>
    </row>
    <row r="37" spans="1:24">
      <c r="A37" s="10" t="s">
        <v>2207</v>
      </c>
      <c r="B37" s="114"/>
      <c r="C37" s="114"/>
      <c r="D37" s="10"/>
      <c r="E37" s="10"/>
      <c r="F37" s="10"/>
      <c r="G37" s="10"/>
      <c r="H37" s="10"/>
      <c r="I37" s="10"/>
      <c r="J37" s="10"/>
      <c r="K37" s="10"/>
      <c r="L37" s="10"/>
      <c r="M37" s="10"/>
      <c r="N37" s="10"/>
      <c r="O37" s="10"/>
      <c r="P37" s="10"/>
      <c r="Q37" s="114" t="s">
        <v>1033</v>
      </c>
      <c r="R37" s="10"/>
      <c r="S37" s="114"/>
      <c r="T37" s="692"/>
      <c r="U37" s="711"/>
      <c r="V37" s="681"/>
      <c r="W37" s="738">
        <v>34</v>
      </c>
      <c r="X37" s="714" t="str">
        <f t="shared" si="0"/>
        <v/>
      </c>
    </row>
    <row r="38" spans="1:24">
      <c r="A38" s="10"/>
      <c r="D38" s="114"/>
      <c r="E38" s="114"/>
      <c r="F38" s="114"/>
      <c r="G38" s="127"/>
      <c r="H38" s="114"/>
      <c r="J38" s="114"/>
      <c r="K38" s="138"/>
      <c r="L38" s="114"/>
      <c r="M38" s="127"/>
      <c r="N38" s="138"/>
      <c r="O38" s="116"/>
      <c r="T38" s="116"/>
      <c r="W38" s="738">
        <v>35</v>
      </c>
      <c r="X38" s="714" t="str">
        <f t="shared" si="0"/>
        <v/>
      </c>
    </row>
    <row r="39" spans="1:24">
      <c r="A39" s="10"/>
      <c r="D39" s="114"/>
      <c r="E39" s="114"/>
      <c r="F39" s="114"/>
      <c r="G39" s="127"/>
      <c r="H39" s="114"/>
      <c r="J39" s="114"/>
      <c r="K39" s="138"/>
      <c r="L39" s="114"/>
      <c r="M39" s="127"/>
      <c r="N39" s="138"/>
      <c r="O39" s="116"/>
      <c r="T39" s="116"/>
      <c r="W39" s="114"/>
      <c r="X39" s="10"/>
    </row>
    <row r="40" spans="1:24" ht="23.25" thickBot="1">
      <c r="A40" s="740" t="s">
        <v>2086</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48" t="s">
        <v>1689</v>
      </c>
    </row>
    <row r="41" spans="1:24">
      <c r="A41" s="695" t="s">
        <v>2087</v>
      </c>
      <c r="B41" s="696">
        <v>2622</v>
      </c>
      <c r="C41" s="696">
        <v>1</v>
      </c>
      <c r="D41" s="696"/>
      <c r="E41" s="696"/>
      <c r="F41" s="696"/>
      <c r="G41" s="697"/>
      <c r="H41" s="697"/>
      <c r="I41" s="699"/>
      <c r="J41" s="696"/>
      <c r="K41" s="746"/>
      <c r="L41" s="696"/>
      <c r="M41" s="697">
        <v>12</v>
      </c>
      <c r="N41" s="746"/>
      <c r="O41" s="697"/>
      <c r="P41" s="699"/>
      <c r="Q41" s="699"/>
      <c r="R41" s="699"/>
      <c r="S41" s="696" t="s">
        <v>668</v>
      </c>
      <c r="T41" s="697" t="b">
        <v>1</v>
      </c>
      <c r="U41" s="891">
        <f>($D41*dpsStr+$E41*dpsAgi+$G41*dpsCrit+$H41*dpsHit+$F41*dpsAP+$I41*dpsHaste+$J41*dpsArmor+$K41*dpsExp)-'Gear &amp; Buffs'!$AF$40</f>
        <v>-9.9265544320196568</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9"/>
      <c r="X41" s="750"/>
    </row>
    <row r="42" spans="1:24">
      <c r="A42" s="677" t="s">
        <v>1121</v>
      </c>
      <c r="B42" s="678">
        <v>368</v>
      </c>
      <c r="C42" s="678">
        <v>1</v>
      </c>
      <c r="D42" s="678"/>
      <c r="E42" s="678">
        <v>12</v>
      </c>
      <c r="F42" s="678"/>
      <c r="G42" s="679"/>
      <c r="H42" s="679"/>
      <c r="I42" s="682"/>
      <c r="J42" s="678"/>
      <c r="K42" s="690"/>
      <c r="L42" s="678"/>
      <c r="M42" s="679"/>
      <c r="N42" s="747"/>
      <c r="O42" s="678"/>
      <c r="P42" s="682"/>
      <c r="Q42" s="682"/>
      <c r="R42" s="682"/>
      <c r="S42" s="678" t="s">
        <v>1689</v>
      </c>
      <c r="T42" s="679" t="b">
        <v>0</v>
      </c>
      <c r="U42" s="891">
        <f>($D42*dpsStr+$E42*dpsAgi+$G42*dpsCrit+$H42*dpsHit+$F42*dpsAP+$I42*dpsHaste+$J42*dpsArmor+$K42*dpsExp)-'Gear &amp; Buffs'!$AF$40</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1">
        <v>1</v>
      </c>
      <c r="X42" s="752" t="str">
        <f>IF(ISNA(INDEX($A$41:$A$45,MATCH(W42,V$41:V$45,0))), "", INDEX($A$41:$A$45,MATCH(W42,V$41:V$45,0)))</f>
        <v>Greater Agility (+12 Agility)</v>
      </c>
    </row>
    <row r="43" spans="1:24">
      <c r="A43" s="677" t="s">
        <v>2813</v>
      </c>
      <c r="B43" s="678">
        <v>849</v>
      </c>
      <c r="C43" s="678">
        <v>1</v>
      </c>
      <c r="D43" s="678"/>
      <c r="E43" s="678">
        <v>3</v>
      </c>
      <c r="F43" s="678"/>
      <c r="G43" s="679"/>
      <c r="H43" s="679"/>
      <c r="I43" s="682"/>
      <c r="J43" s="678"/>
      <c r="K43" s="690"/>
      <c r="L43" s="678"/>
      <c r="M43" s="679"/>
      <c r="N43" s="747"/>
      <c r="O43" s="678"/>
      <c r="P43" s="682"/>
      <c r="Q43" s="682"/>
      <c r="R43" s="682"/>
      <c r="S43" s="678" t="s">
        <v>668</v>
      </c>
      <c r="T43" s="679" t="b">
        <v>0</v>
      </c>
      <c r="U43" s="891">
        <f>($D43*dpsStr+$E43*dpsAgi+$G43*dpsCrit+$H43*dpsHit+$F43*dpsAP+$I43*dpsHaste+$J43*dpsArmor+$K43*dpsExp)-'Gear &amp; Buffs'!$AF$40</f>
        <v>-7.4449158240147426</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1">
        <v>2</v>
      </c>
      <c r="X43" s="752" t="str">
        <f t="shared" ref="X43:X46" si="1">IF(ISNA(INDEX($A$41:$A$45,MATCH(W43,V$41:V$45,0))), "", INDEX($A$41:$A$45,MATCH(W43,V$41:V$45,0)))</f>
        <v>Lesser Agility (+3 Agility)</v>
      </c>
    </row>
    <row r="44" spans="1:24">
      <c r="A44" s="677" t="s">
        <v>2088</v>
      </c>
      <c r="B44" s="678">
        <v>910</v>
      </c>
      <c r="C44" s="678">
        <v>1</v>
      </c>
      <c r="D44" s="678"/>
      <c r="E44" s="678"/>
      <c r="F44" s="678"/>
      <c r="G44" s="679"/>
      <c r="H44" s="679"/>
      <c r="I44" s="682"/>
      <c r="J44" s="678"/>
      <c r="K44" s="747"/>
      <c r="L44" s="678"/>
      <c r="M44" s="679"/>
      <c r="N44" s="747"/>
      <c r="O44" s="679"/>
      <c r="P44" s="682"/>
      <c r="Q44" s="682"/>
      <c r="R44" s="682"/>
      <c r="S44" s="678" t="s">
        <v>668</v>
      </c>
      <c r="T44" s="679" t="b">
        <v>1</v>
      </c>
      <c r="U44" s="891">
        <f>($D44*dpsStr+$E44*dpsAgi+$G44*dpsCrit+$H44*dpsHit+$F44*dpsAP+$I44*dpsHaste+$J44*dpsArmor+$K44*dpsExp)-'Gear &amp; Buffs'!$AF$40</f>
        <v>-9.9265544320196568</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1">
        <v>3</v>
      </c>
      <c r="X44" s="752" t="str">
        <f t="shared" si="1"/>
        <v/>
      </c>
    </row>
    <row r="45" spans="1:24">
      <c r="A45" s="677" t="s">
        <v>2089</v>
      </c>
      <c r="B45" s="678">
        <v>2621</v>
      </c>
      <c r="C45" s="678">
        <v>1</v>
      </c>
      <c r="D45" s="678"/>
      <c r="E45" s="678"/>
      <c r="F45" s="678"/>
      <c r="G45" s="679"/>
      <c r="H45" s="679"/>
      <c r="I45" s="682"/>
      <c r="J45" s="678"/>
      <c r="K45" s="747"/>
      <c r="L45" s="678"/>
      <c r="M45" s="679"/>
      <c r="N45" s="747"/>
      <c r="O45" s="679"/>
      <c r="P45" s="682"/>
      <c r="Q45" s="682"/>
      <c r="R45" s="682"/>
      <c r="S45" s="678" t="s">
        <v>668</v>
      </c>
      <c r="T45" s="679" t="b">
        <v>1</v>
      </c>
      <c r="U45" s="891">
        <f>($D45*dpsStr+$E45*dpsAgi+$G45*dpsCrit+$H45*dpsHit+$F45*dpsAP+$I45*dpsHaste+$J45*dpsArmor+$K45*dpsExp)-'Gear &amp; Buffs'!$AF$40</f>
        <v>-9.9265544320196568</v>
      </c>
      <c r="V45" s="221"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1">
        <v>4</v>
      </c>
      <c r="X45" s="752" t="str">
        <f t="shared" si="1"/>
        <v/>
      </c>
    </row>
    <row r="46" spans="1:24">
      <c r="A46" s="677" t="s">
        <v>2207</v>
      </c>
      <c r="B46" s="678"/>
      <c r="C46" s="678"/>
      <c r="D46" s="678"/>
      <c r="E46" s="678"/>
      <c r="F46" s="678"/>
      <c r="G46" s="679"/>
      <c r="H46" s="679"/>
      <c r="I46" s="682"/>
      <c r="J46" s="678"/>
      <c r="K46" s="690"/>
      <c r="L46" s="678"/>
      <c r="M46" s="679"/>
      <c r="N46" s="747"/>
      <c r="O46" s="678"/>
      <c r="P46" s="682"/>
      <c r="Q46" s="682"/>
      <c r="R46" s="682"/>
      <c r="S46" s="678"/>
      <c r="T46" s="678"/>
      <c r="U46" s="711"/>
      <c r="V46" s="681"/>
      <c r="W46" s="751">
        <v>5</v>
      </c>
      <c r="X46" s="752" t="str">
        <f t="shared" si="1"/>
        <v/>
      </c>
    </row>
    <row r="47" spans="1:24">
      <c r="K47" s="48"/>
      <c r="N47" s="48"/>
      <c r="O47" s="48"/>
      <c r="T47" s="48"/>
    </row>
    <row r="48" spans="1:24">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X125"/>
  <sheetViews>
    <sheetView workbookViewId="0">
      <selection activeCell="X4" sqref="X4"/>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4" s="47" customFormat="1"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1124</v>
      </c>
    </row>
    <row r="2" spans="1:24">
      <c r="A2" s="695" t="s">
        <v>1179</v>
      </c>
      <c r="B2" s="697">
        <v>29340</v>
      </c>
      <c r="C2" s="697">
        <v>1</v>
      </c>
      <c r="D2" s="696"/>
      <c r="E2" s="696">
        <v>24</v>
      </c>
      <c r="F2" s="696">
        <v>18</v>
      </c>
      <c r="G2" s="697"/>
      <c r="H2" s="697">
        <v>19</v>
      </c>
      <c r="I2" s="697"/>
      <c r="J2" s="696"/>
      <c r="K2" s="697"/>
      <c r="L2" s="696"/>
      <c r="M2" s="697">
        <v>24</v>
      </c>
      <c r="N2" s="697"/>
      <c r="O2" s="697"/>
      <c r="P2" s="697"/>
      <c r="Q2" s="696" t="s">
        <v>2090</v>
      </c>
      <c r="R2" s="696" t="s">
        <v>1465</v>
      </c>
      <c r="S2" s="696" t="s">
        <v>675</v>
      </c>
      <c r="T2" s="697"/>
      <c r="U2" s="891">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677" t="s">
        <v>967</v>
      </c>
      <c r="B3" s="679">
        <v>34397</v>
      </c>
      <c r="C3" s="679">
        <v>5</v>
      </c>
      <c r="D3" s="678"/>
      <c r="E3" s="678">
        <v>42</v>
      </c>
      <c r="F3" s="678">
        <v>120</v>
      </c>
      <c r="G3" s="679">
        <v>38</v>
      </c>
      <c r="H3" s="679"/>
      <c r="I3" s="679"/>
      <c r="J3" s="678">
        <v>210</v>
      </c>
      <c r="K3" s="679"/>
      <c r="L3" s="678">
        <v>45</v>
      </c>
      <c r="M3" s="679"/>
      <c r="N3" s="679"/>
      <c r="O3" s="679"/>
      <c r="P3" s="679"/>
      <c r="Q3" s="678" t="s">
        <v>2093</v>
      </c>
      <c r="R3" s="678" t="s">
        <v>1065</v>
      </c>
      <c r="S3" s="678" t="s">
        <v>871</v>
      </c>
      <c r="T3" s="679"/>
      <c r="U3" s="891">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677" t="s">
        <v>2091</v>
      </c>
      <c r="B4" s="679">
        <v>30101</v>
      </c>
      <c r="C4" s="679">
        <v>2</v>
      </c>
      <c r="D4" s="678"/>
      <c r="E4" s="678"/>
      <c r="F4" s="678">
        <v>92</v>
      </c>
      <c r="G4" s="679">
        <v>36</v>
      </c>
      <c r="H4" s="679">
        <v>27</v>
      </c>
      <c r="I4" s="679"/>
      <c r="J4" s="678"/>
      <c r="K4" s="679"/>
      <c r="L4" s="678">
        <v>24</v>
      </c>
      <c r="M4" s="679"/>
      <c r="N4" s="679"/>
      <c r="O4" s="679"/>
      <c r="P4" s="679"/>
      <c r="Q4" s="678" t="s">
        <v>2092</v>
      </c>
      <c r="R4" s="678" t="s">
        <v>1065</v>
      </c>
      <c r="S4" s="678" t="s">
        <v>667</v>
      </c>
      <c r="T4" s="679"/>
      <c r="U4" s="891">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1"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IF(ISNA(INDEX($A$2:$A$35,MATCH(W4,V$2:V$35,0))), "", INDEX($A$2:$A$35,MATCH(W4,V$2:V$35,0)))</f>
        <v>Auchenai Monk's Tunic</v>
      </c>
    </row>
    <row r="5" spans="1:24">
      <c r="A5" s="677" t="s">
        <v>2341</v>
      </c>
      <c r="B5" s="678">
        <v>22476</v>
      </c>
      <c r="C5" s="678">
        <v>1</v>
      </c>
      <c r="D5" s="678"/>
      <c r="E5" s="678"/>
      <c r="F5" s="678">
        <v>80</v>
      </c>
      <c r="G5" s="679">
        <v>28</v>
      </c>
      <c r="H5" s="679">
        <v>10</v>
      </c>
      <c r="I5" s="678"/>
      <c r="J5" s="678"/>
      <c r="K5" s="678"/>
      <c r="L5" s="678">
        <v>29</v>
      </c>
      <c r="M5" s="679"/>
      <c r="N5" s="679"/>
      <c r="O5" s="678"/>
      <c r="P5" s="678" t="s">
        <v>2335</v>
      </c>
      <c r="Q5" s="678" t="s">
        <v>1033</v>
      </c>
      <c r="R5" s="678"/>
      <c r="S5" s="678" t="s">
        <v>668</v>
      </c>
      <c r="T5" s="678"/>
      <c r="U5" s="891">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1">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7" si="0">IF(ISNA(INDEX($A$2:$A$35,MATCH(W5,V$2:V$35,0))), "", INDEX($A$2:$A$35,MATCH(W5,V$2:V$35,0)))</f>
        <v>Bonescythe Breastplate</v>
      </c>
    </row>
    <row r="6" spans="1:24">
      <c r="A6" s="677" t="s">
        <v>1986</v>
      </c>
      <c r="B6" s="678">
        <v>35036</v>
      </c>
      <c r="C6" s="678">
        <v>5</v>
      </c>
      <c r="D6" s="678"/>
      <c r="E6" s="678">
        <v>36</v>
      </c>
      <c r="F6" s="678">
        <v>58</v>
      </c>
      <c r="G6" s="679">
        <v>22</v>
      </c>
      <c r="H6" s="679">
        <v>17</v>
      </c>
      <c r="I6" s="678"/>
      <c r="J6" s="678">
        <v>84</v>
      </c>
      <c r="K6" s="678"/>
      <c r="L6" s="678">
        <v>71</v>
      </c>
      <c r="M6" s="679"/>
      <c r="N6" s="679">
        <v>25</v>
      </c>
      <c r="O6" s="678"/>
      <c r="P6" s="678" t="s">
        <v>1068</v>
      </c>
      <c r="Q6" s="678" t="s">
        <v>2090</v>
      </c>
      <c r="R6" s="678" t="s">
        <v>817</v>
      </c>
      <c r="S6" s="678" t="s">
        <v>677</v>
      </c>
      <c r="T6" s="678"/>
      <c r="U6" s="891">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1"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Chestguard of the Conniver</v>
      </c>
    </row>
    <row r="7" spans="1:24">
      <c r="A7" s="677" t="s">
        <v>708</v>
      </c>
      <c r="B7" s="678">
        <v>34369</v>
      </c>
      <c r="C7" s="678">
        <v>5</v>
      </c>
      <c r="D7" s="678"/>
      <c r="E7" s="678">
        <v>42</v>
      </c>
      <c r="F7" s="678">
        <v>120</v>
      </c>
      <c r="G7" s="679"/>
      <c r="H7" s="679">
        <v>30</v>
      </c>
      <c r="I7" s="678">
        <v>38</v>
      </c>
      <c r="J7" s="678"/>
      <c r="K7" s="678"/>
      <c r="L7" s="678">
        <v>45</v>
      </c>
      <c r="M7" s="679"/>
      <c r="N7" s="679"/>
      <c r="O7" s="678"/>
      <c r="P7" s="688"/>
      <c r="Q7" s="678" t="s">
        <v>2090</v>
      </c>
      <c r="R7" s="678" t="s">
        <v>1065</v>
      </c>
      <c r="S7" s="678" t="s">
        <v>687</v>
      </c>
      <c r="T7" s="678"/>
      <c r="U7" s="891">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Chestguard of the Prowler</v>
      </c>
    </row>
    <row r="8" spans="1:24" s="47" customFormat="1">
      <c r="A8" s="677" t="s">
        <v>1125</v>
      </c>
      <c r="B8" s="678">
        <v>28601</v>
      </c>
      <c r="C8" s="678">
        <v>1</v>
      </c>
      <c r="D8" s="678"/>
      <c r="E8" s="678">
        <v>37</v>
      </c>
      <c r="F8" s="678">
        <v>90</v>
      </c>
      <c r="G8" s="679"/>
      <c r="H8" s="679">
        <v>22</v>
      </c>
      <c r="I8" s="678"/>
      <c r="J8" s="678"/>
      <c r="K8" s="678"/>
      <c r="L8" s="678">
        <v>36</v>
      </c>
      <c r="M8" s="679"/>
      <c r="N8" s="679"/>
      <c r="O8" s="678"/>
      <c r="P8" s="688"/>
      <c r="Q8" s="678" t="s">
        <v>1033</v>
      </c>
      <c r="R8" s="678"/>
      <c r="S8" s="679" t="s">
        <v>672</v>
      </c>
      <c r="T8" s="678"/>
      <c r="U8" s="891">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8">
        <v>5</v>
      </c>
      <c r="X8" s="714" t="str">
        <f t="shared" si="0"/>
        <v>Gladiator's Leather Tunic</v>
      </c>
    </row>
    <row r="9" spans="1:24">
      <c r="A9" s="677" t="s">
        <v>955</v>
      </c>
      <c r="B9" s="678">
        <v>27461</v>
      </c>
      <c r="C9" s="678">
        <v>1</v>
      </c>
      <c r="D9" s="678"/>
      <c r="E9" s="678">
        <v>31</v>
      </c>
      <c r="F9" s="678">
        <v>70</v>
      </c>
      <c r="G9" s="679"/>
      <c r="H9" s="679">
        <v>17</v>
      </c>
      <c r="I9" s="678"/>
      <c r="J9" s="678"/>
      <c r="K9" s="678"/>
      <c r="L9" s="678">
        <v>26</v>
      </c>
      <c r="M9" s="679"/>
      <c r="N9" s="679"/>
      <c r="O9" s="678"/>
      <c r="P9" s="688"/>
      <c r="Q9" s="678" t="s">
        <v>1033</v>
      </c>
      <c r="R9" s="678"/>
      <c r="S9" s="678" t="s">
        <v>673</v>
      </c>
      <c r="T9" s="678"/>
      <c r="U9" s="891">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8">
        <v>6</v>
      </c>
      <c r="X9" s="714" t="str">
        <f t="shared" si="0"/>
        <v>Hauberk of Karabor</v>
      </c>
    </row>
    <row r="10" spans="1:24">
      <c r="A10" s="677" t="s">
        <v>815</v>
      </c>
      <c r="B10" s="678">
        <v>30144</v>
      </c>
      <c r="C10" s="678">
        <v>2</v>
      </c>
      <c r="D10" s="678"/>
      <c r="E10" s="678">
        <v>33</v>
      </c>
      <c r="F10" s="678">
        <v>94</v>
      </c>
      <c r="G10" s="679">
        <v>17</v>
      </c>
      <c r="H10" s="679"/>
      <c r="I10" s="678"/>
      <c r="J10" s="678"/>
      <c r="K10" s="678"/>
      <c r="L10" s="678">
        <v>57</v>
      </c>
      <c r="M10" s="679"/>
      <c r="N10" s="679"/>
      <c r="O10" s="678"/>
      <c r="P10" s="678" t="s">
        <v>1063</v>
      </c>
      <c r="Q10" s="678" t="s">
        <v>2092</v>
      </c>
      <c r="R10" s="678" t="s">
        <v>1056</v>
      </c>
      <c r="S10" s="678" t="s">
        <v>680</v>
      </c>
      <c r="T10" s="678"/>
      <c r="U10" s="891">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1"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Mag'hari Scout's Tunic</v>
      </c>
    </row>
    <row r="11" spans="1:24">
      <c r="A11" s="677" t="s">
        <v>1885</v>
      </c>
      <c r="B11" s="678">
        <v>34906</v>
      </c>
      <c r="C11" s="678">
        <v>5</v>
      </c>
      <c r="D11" s="678">
        <v>40</v>
      </c>
      <c r="E11" s="678">
        <v>49</v>
      </c>
      <c r="F11" s="678"/>
      <c r="G11" s="679"/>
      <c r="H11" s="679"/>
      <c r="I11" s="678">
        <v>20</v>
      </c>
      <c r="J11" s="678"/>
      <c r="K11" s="678"/>
      <c r="L11" s="678">
        <v>52</v>
      </c>
      <c r="M11" s="679"/>
      <c r="N11" s="679"/>
      <c r="O11" s="678"/>
      <c r="P11" s="678"/>
      <c r="Q11" s="678" t="s">
        <v>1035</v>
      </c>
      <c r="R11" s="678" t="s">
        <v>1338</v>
      </c>
      <c r="S11" s="678" t="s">
        <v>691</v>
      </c>
      <c r="T11" s="678"/>
      <c r="U11" s="891">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1"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Netherblade Chestpiece</v>
      </c>
    </row>
    <row r="12" spans="1:24">
      <c r="A12" s="677" t="s">
        <v>816</v>
      </c>
      <c r="B12" s="678">
        <v>25831</v>
      </c>
      <c r="C12" s="678">
        <v>1</v>
      </c>
      <c r="D12" s="678"/>
      <c r="E12" s="678">
        <v>33</v>
      </c>
      <c r="F12" s="678">
        <v>30</v>
      </c>
      <c r="G12" s="679">
        <v>12</v>
      </c>
      <c r="H12" s="679"/>
      <c r="I12" s="678"/>
      <c r="J12" s="678"/>
      <c r="K12" s="678"/>
      <c r="L12" s="678">
        <v>50</v>
      </c>
      <c r="M12" s="679"/>
      <c r="N12" s="679">
        <v>23</v>
      </c>
      <c r="O12" s="678"/>
      <c r="P12" s="678" t="s">
        <v>1068</v>
      </c>
      <c r="Q12" s="678" t="s">
        <v>2090</v>
      </c>
      <c r="R12" s="678" t="s">
        <v>817</v>
      </c>
      <c r="S12" s="678" t="s">
        <v>677</v>
      </c>
      <c r="T12" s="678"/>
      <c r="U12" s="891">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1">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8">
        <v>9</v>
      </c>
      <c r="X12" s="714" t="str">
        <f t="shared" si="0"/>
        <v>Opportunist's Leather Tunic</v>
      </c>
    </row>
    <row r="13" spans="1:24" s="129" customFormat="1">
      <c r="A13" s="677" t="s">
        <v>870</v>
      </c>
      <c r="B13" s="678">
        <v>34211</v>
      </c>
      <c r="C13" s="678">
        <v>5</v>
      </c>
      <c r="D13" s="678">
        <v>52</v>
      </c>
      <c r="E13" s="678">
        <v>44</v>
      </c>
      <c r="F13" s="678"/>
      <c r="G13" s="678"/>
      <c r="H13" s="678"/>
      <c r="I13" s="678"/>
      <c r="J13" s="678">
        <v>196</v>
      </c>
      <c r="K13" s="678"/>
      <c r="L13" s="678">
        <v>64</v>
      </c>
      <c r="M13" s="678"/>
      <c r="N13" s="678"/>
      <c r="O13" s="678"/>
      <c r="P13" s="678"/>
      <c r="Q13" s="678" t="s">
        <v>2093</v>
      </c>
      <c r="R13" s="678" t="s">
        <v>1056</v>
      </c>
      <c r="S13" s="678" t="s">
        <v>871</v>
      </c>
      <c r="T13" s="678"/>
      <c r="U13" s="891">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Protectorate Assassin's Tunic</v>
      </c>
    </row>
    <row r="14" spans="1:24" s="129" customFormat="1">
      <c r="A14" s="677" t="s">
        <v>818</v>
      </c>
      <c r="B14" s="678">
        <v>30933</v>
      </c>
      <c r="C14" s="678">
        <v>1</v>
      </c>
      <c r="D14" s="678"/>
      <c r="E14" s="678">
        <v>25</v>
      </c>
      <c r="F14" s="678">
        <v>90</v>
      </c>
      <c r="G14" s="678"/>
      <c r="H14" s="678">
        <v>12</v>
      </c>
      <c r="I14" s="678"/>
      <c r="J14" s="678"/>
      <c r="K14" s="678"/>
      <c r="L14" s="678">
        <v>18</v>
      </c>
      <c r="M14" s="678"/>
      <c r="N14" s="678"/>
      <c r="O14" s="678"/>
      <c r="P14" s="678"/>
      <c r="Q14" s="678" t="s">
        <v>1033</v>
      </c>
      <c r="R14" s="678"/>
      <c r="S14" s="678" t="s">
        <v>675</v>
      </c>
      <c r="T14" s="678"/>
      <c r="U14" s="891">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Terrorweave Tunic</v>
      </c>
    </row>
    <row r="15" spans="1:24" s="129" customFormat="1">
      <c r="A15" s="683" t="s">
        <v>2342</v>
      </c>
      <c r="B15" s="678">
        <v>32869</v>
      </c>
      <c r="C15" s="678">
        <v>3</v>
      </c>
      <c r="D15" s="678"/>
      <c r="E15" s="678">
        <v>29</v>
      </c>
      <c r="F15" s="678">
        <v>44</v>
      </c>
      <c r="G15" s="678"/>
      <c r="H15" s="678"/>
      <c r="I15" s="678"/>
      <c r="J15" s="678"/>
      <c r="K15" s="678"/>
      <c r="L15" s="678">
        <v>24</v>
      </c>
      <c r="M15" s="678"/>
      <c r="N15" s="678"/>
      <c r="O15" s="678"/>
      <c r="P15" s="678"/>
      <c r="Q15" s="678" t="s">
        <v>2343</v>
      </c>
      <c r="R15" s="678"/>
      <c r="S15" s="678" t="s">
        <v>675</v>
      </c>
      <c r="T15" s="678"/>
      <c r="U15" s="891">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Tunic of Assassination</v>
      </c>
    </row>
    <row r="16" spans="1:24">
      <c r="A16" s="677" t="s">
        <v>819</v>
      </c>
      <c r="B16" s="678">
        <v>28172</v>
      </c>
      <c r="C16" s="678">
        <v>1</v>
      </c>
      <c r="D16" s="678"/>
      <c r="E16" s="678">
        <v>23</v>
      </c>
      <c r="F16" s="678">
        <v>86</v>
      </c>
      <c r="G16" s="678"/>
      <c r="H16" s="678">
        <v>12</v>
      </c>
      <c r="I16" s="678"/>
      <c r="J16" s="678"/>
      <c r="K16" s="678"/>
      <c r="L16" s="678">
        <v>18</v>
      </c>
      <c r="M16" s="678"/>
      <c r="N16" s="678"/>
      <c r="O16" s="678"/>
      <c r="P16" s="678"/>
      <c r="Q16" s="678" t="s">
        <v>1033</v>
      </c>
      <c r="R16" s="678"/>
      <c r="S16" s="678" t="s">
        <v>675</v>
      </c>
      <c r="T16" s="678"/>
      <c r="U16" s="891">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Vest of Vengeance</v>
      </c>
    </row>
    <row r="17" spans="1:24">
      <c r="A17" s="677" t="s">
        <v>821</v>
      </c>
      <c r="B17" s="678">
        <v>32002</v>
      </c>
      <c r="C17" s="678">
        <v>2</v>
      </c>
      <c r="D17" s="678"/>
      <c r="E17" s="678">
        <v>37</v>
      </c>
      <c r="F17" s="678">
        <v>40</v>
      </c>
      <c r="G17" s="679">
        <v>13</v>
      </c>
      <c r="H17" s="679"/>
      <c r="I17" s="678"/>
      <c r="J17" s="678"/>
      <c r="K17" s="678"/>
      <c r="L17" s="678">
        <v>57</v>
      </c>
      <c r="M17" s="679"/>
      <c r="N17" s="679">
        <v>25</v>
      </c>
      <c r="O17" s="678"/>
      <c r="P17" s="678" t="s">
        <v>1068</v>
      </c>
      <c r="Q17" s="678" t="s">
        <v>2090</v>
      </c>
      <c r="R17" s="678" t="s">
        <v>817</v>
      </c>
      <c r="S17" s="678" t="s">
        <v>677</v>
      </c>
      <c r="T17" s="678"/>
      <c r="U17" s="891">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Wastewalker Tunic</v>
      </c>
    </row>
    <row r="18" spans="1:24">
      <c r="A18" s="677" t="s">
        <v>500</v>
      </c>
      <c r="B18" s="678">
        <v>30905</v>
      </c>
      <c r="C18" s="678">
        <v>3</v>
      </c>
      <c r="D18" s="678"/>
      <c r="E18" s="678"/>
      <c r="F18" s="678">
        <v>106</v>
      </c>
      <c r="G18" s="678">
        <v>46</v>
      </c>
      <c r="H18" s="678">
        <v>29</v>
      </c>
      <c r="I18" s="678"/>
      <c r="J18" s="678"/>
      <c r="K18" s="678"/>
      <c r="L18" s="678">
        <v>64</v>
      </c>
      <c r="M18" s="678"/>
      <c r="N18" s="678"/>
      <c r="O18" s="678"/>
      <c r="P18" s="678"/>
      <c r="Q18" s="678" t="s">
        <v>2093</v>
      </c>
      <c r="R18" s="678" t="s">
        <v>1065</v>
      </c>
      <c r="S18" s="678" t="s">
        <v>684</v>
      </c>
      <c r="T18" s="678"/>
      <c r="U18" s="891">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1"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(Unmodeled)</v>
      </c>
    </row>
    <row r="19" spans="1:24">
      <c r="A19" s="677" t="s">
        <v>823</v>
      </c>
      <c r="B19" s="678">
        <v>32252</v>
      </c>
      <c r="C19" s="678">
        <v>3</v>
      </c>
      <c r="D19" s="678"/>
      <c r="E19" s="678">
        <v>36</v>
      </c>
      <c r="F19" s="678">
        <v>86</v>
      </c>
      <c r="G19" s="679"/>
      <c r="H19" s="679">
        <v>35</v>
      </c>
      <c r="I19" s="678"/>
      <c r="J19" s="678"/>
      <c r="K19" s="678"/>
      <c r="L19" s="678">
        <v>52</v>
      </c>
      <c r="M19" s="679"/>
      <c r="N19" s="679"/>
      <c r="O19" s="678"/>
      <c r="P19" s="678"/>
      <c r="Q19" s="678" t="s">
        <v>2093</v>
      </c>
      <c r="R19" s="678" t="s">
        <v>1065</v>
      </c>
      <c r="S19" s="678" t="s">
        <v>683</v>
      </c>
      <c r="T19" s="678"/>
      <c r="U19" s="891">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1"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
      </c>
    </row>
    <row r="20" spans="1:24">
      <c r="A20" s="677" t="s">
        <v>822</v>
      </c>
      <c r="B20" s="678">
        <v>29045</v>
      </c>
      <c r="C20" s="678">
        <v>1</v>
      </c>
      <c r="D20" s="678"/>
      <c r="E20" s="678">
        <v>35</v>
      </c>
      <c r="F20" s="678">
        <v>74</v>
      </c>
      <c r="G20" s="679"/>
      <c r="H20" s="679">
        <v>11</v>
      </c>
      <c r="I20" s="678"/>
      <c r="J20" s="678"/>
      <c r="K20" s="678"/>
      <c r="L20" s="678">
        <v>39</v>
      </c>
      <c r="M20" s="679"/>
      <c r="N20" s="679"/>
      <c r="O20" s="678"/>
      <c r="P20" s="678" t="s">
        <v>1078</v>
      </c>
      <c r="Q20" s="678" t="s">
        <v>2093</v>
      </c>
      <c r="R20" s="678" t="s">
        <v>1056</v>
      </c>
      <c r="S20" s="678" t="s">
        <v>679</v>
      </c>
      <c r="T20" s="678"/>
      <c r="U20" s="891">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1">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8</v>
      </c>
      <c r="W20" s="738">
        <v>17</v>
      </c>
      <c r="X20" s="714" t="str">
        <f t="shared" si="0"/>
        <v/>
      </c>
    </row>
    <row r="21" spans="1:24">
      <c r="A21" s="677" t="s">
        <v>706</v>
      </c>
      <c r="B21" s="678">
        <v>35370</v>
      </c>
      <c r="C21" s="678">
        <v>1</v>
      </c>
      <c r="D21" s="678"/>
      <c r="E21" s="678">
        <v>20</v>
      </c>
      <c r="F21" s="678">
        <v>12</v>
      </c>
      <c r="G21" s="679">
        <v>10</v>
      </c>
      <c r="H21" s="679"/>
      <c r="I21" s="678"/>
      <c r="J21" s="678"/>
      <c r="K21" s="678"/>
      <c r="L21" s="678">
        <v>42</v>
      </c>
      <c r="M21" s="679"/>
      <c r="N21" s="679">
        <v>24</v>
      </c>
      <c r="O21" s="678"/>
      <c r="P21" s="678" t="s">
        <v>2861</v>
      </c>
      <c r="Q21" s="678" t="s">
        <v>2090</v>
      </c>
      <c r="R21" s="678" t="s">
        <v>817</v>
      </c>
      <c r="S21" s="678" t="s">
        <v>676</v>
      </c>
      <c r="T21" s="678"/>
      <c r="U21" s="891">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9</v>
      </c>
      <c r="W21" s="738">
        <v>18</v>
      </c>
      <c r="X21" s="714" t="str">
        <f t="shared" ref="X21" si="1">IF(ISNA(INDEX($A$2:$A$35,MATCH(W21,V$2:V$35,0))), "", INDEX($A$2:$A$35,MATCH(W21,V$2:V$35,0)))</f>
        <v/>
      </c>
    </row>
    <row r="22" spans="1:24">
      <c r="A22" s="677" t="s">
        <v>827</v>
      </c>
      <c r="B22" s="678">
        <v>29973</v>
      </c>
      <c r="C22" s="678">
        <v>1</v>
      </c>
      <c r="D22" s="678"/>
      <c r="E22" s="678">
        <v>30</v>
      </c>
      <c r="F22" s="678">
        <v>60</v>
      </c>
      <c r="G22" s="679"/>
      <c r="H22" s="679">
        <v>17</v>
      </c>
      <c r="I22" s="678"/>
      <c r="J22" s="678"/>
      <c r="K22" s="678"/>
      <c r="L22" s="678">
        <v>27</v>
      </c>
      <c r="M22" s="679"/>
      <c r="N22" s="679"/>
      <c r="O22" s="678"/>
      <c r="P22" s="678"/>
      <c r="Q22" s="678" t="s">
        <v>1033</v>
      </c>
      <c r="R22" s="678"/>
      <c r="S22" s="678" t="s">
        <v>687</v>
      </c>
      <c r="T22" s="678"/>
      <c r="U22" s="891">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1"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
      </c>
    </row>
    <row r="23" spans="1:24">
      <c r="A23" s="677" t="s">
        <v>825</v>
      </c>
      <c r="B23" s="678">
        <v>29525</v>
      </c>
      <c r="C23" s="678">
        <v>1</v>
      </c>
      <c r="D23" s="678"/>
      <c r="E23" s="678">
        <v>38</v>
      </c>
      <c r="F23" s="678">
        <v>108</v>
      </c>
      <c r="G23" s="679"/>
      <c r="H23" s="679">
        <v>12</v>
      </c>
      <c r="I23" s="678"/>
      <c r="J23" s="678"/>
      <c r="K23" s="678"/>
      <c r="L23" s="678">
        <v>39</v>
      </c>
      <c r="M23" s="679"/>
      <c r="N23" s="679"/>
      <c r="O23" s="678"/>
      <c r="P23" s="678" t="s">
        <v>826</v>
      </c>
      <c r="Q23" s="678" t="s">
        <v>1033</v>
      </c>
      <c r="R23" s="678"/>
      <c r="S23" s="678" t="s">
        <v>687</v>
      </c>
      <c r="T23" s="678"/>
      <c r="U23" s="891">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
      </c>
    </row>
    <row r="24" spans="1:24">
      <c r="A24" s="677" t="s">
        <v>828</v>
      </c>
      <c r="B24" s="678">
        <v>30328</v>
      </c>
      <c r="C24" s="678">
        <v>1</v>
      </c>
      <c r="D24" s="678"/>
      <c r="E24" s="678">
        <v>26</v>
      </c>
      <c r="F24" s="678">
        <v>52</v>
      </c>
      <c r="G24" s="679"/>
      <c r="H24" s="679">
        <v>21</v>
      </c>
      <c r="I24" s="678"/>
      <c r="J24" s="678"/>
      <c r="K24" s="678"/>
      <c r="L24" s="678">
        <v>24</v>
      </c>
      <c r="M24" s="679"/>
      <c r="N24" s="679"/>
      <c r="O24" s="678"/>
      <c r="P24" s="678"/>
      <c r="Q24" s="678" t="s">
        <v>1033</v>
      </c>
      <c r="R24" s="678"/>
      <c r="S24" s="678" t="s">
        <v>675</v>
      </c>
      <c r="T24" s="678"/>
      <c r="U24" s="891">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10</v>
      </c>
      <c r="W24" s="738">
        <v>21</v>
      </c>
      <c r="X24" s="714" t="str">
        <f t="shared" si="0"/>
        <v/>
      </c>
    </row>
    <row r="25" spans="1:24">
      <c r="A25" s="683" t="s">
        <v>1471</v>
      </c>
      <c r="B25" s="678">
        <v>33204</v>
      </c>
      <c r="C25" s="678">
        <v>3</v>
      </c>
      <c r="D25" s="678">
        <v>32</v>
      </c>
      <c r="E25" s="678">
        <v>40</v>
      </c>
      <c r="F25" s="678"/>
      <c r="G25" s="679"/>
      <c r="H25" s="679">
        <v>8</v>
      </c>
      <c r="I25" s="678"/>
      <c r="J25" s="678"/>
      <c r="K25" s="678"/>
      <c r="L25" s="678">
        <v>12</v>
      </c>
      <c r="M25" s="679"/>
      <c r="N25" s="679"/>
      <c r="O25" s="678"/>
      <c r="P25" s="678"/>
      <c r="Q25" s="678" t="s">
        <v>2093</v>
      </c>
      <c r="R25" s="678" t="s">
        <v>1056</v>
      </c>
      <c r="S25" s="678" t="s">
        <v>685</v>
      </c>
      <c r="T25" s="678"/>
      <c r="U25" s="891">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1"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4">
      <c r="A26" s="677" t="s">
        <v>546</v>
      </c>
      <c r="B26" s="678">
        <v>33329</v>
      </c>
      <c r="C26" s="678">
        <v>4</v>
      </c>
      <c r="D26" s="678"/>
      <c r="E26" s="678">
        <v>45</v>
      </c>
      <c r="F26" s="678">
        <v>92</v>
      </c>
      <c r="G26" s="679"/>
      <c r="H26" s="679"/>
      <c r="I26" s="678"/>
      <c r="J26" s="678">
        <v>210</v>
      </c>
      <c r="K26" s="678"/>
      <c r="L26" s="678">
        <v>46</v>
      </c>
      <c r="M26" s="679"/>
      <c r="N26" s="679"/>
      <c r="O26" s="678"/>
      <c r="P26" s="678"/>
      <c r="Q26" s="678" t="s">
        <v>1033</v>
      </c>
      <c r="R26" s="678"/>
      <c r="S26" s="678" t="s">
        <v>664</v>
      </c>
      <c r="T26" s="678"/>
      <c r="U26" s="891">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1"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677" t="s">
        <v>829</v>
      </c>
      <c r="B27" s="678">
        <v>31028</v>
      </c>
      <c r="C27" s="678">
        <v>3</v>
      </c>
      <c r="D27" s="678"/>
      <c r="E27" s="678">
        <v>45</v>
      </c>
      <c r="F27" s="678">
        <v>92</v>
      </c>
      <c r="G27" s="679">
        <v>28</v>
      </c>
      <c r="H27" s="679">
        <v>15</v>
      </c>
      <c r="I27" s="678"/>
      <c r="J27" s="678"/>
      <c r="K27" s="678"/>
      <c r="L27" s="678">
        <v>55</v>
      </c>
      <c r="M27" s="679"/>
      <c r="N27" s="679"/>
      <c r="O27" s="678"/>
      <c r="P27" s="678" t="s">
        <v>999</v>
      </c>
      <c r="Q27" s="678" t="s">
        <v>2092</v>
      </c>
      <c r="R27" s="678" t="s">
        <v>1065</v>
      </c>
      <c r="S27" s="678" t="s">
        <v>683</v>
      </c>
      <c r="T27" s="678"/>
      <c r="U27" s="891">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1"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
      </c>
    </row>
    <row r="28" spans="1:24">
      <c r="A28" s="677" t="s">
        <v>830</v>
      </c>
      <c r="B28" s="678">
        <v>30730</v>
      </c>
      <c r="C28" s="678">
        <v>1</v>
      </c>
      <c r="D28" s="678"/>
      <c r="E28" s="678"/>
      <c r="F28" s="678">
        <v>96</v>
      </c>
      <c r="G28" s="679">
        <v>25</v>
      </c>
      <c r="H28" s="679">
        <v>21</v>
      </c>
      <c r="I28" s="678"/>
      <c r="J28" s="678"/>
      <c r="K28" s="678"/>
      <c r="L28" s="678"/>
      <c r="M28" s="679"/>
      <c r="N28" s="679"/>
      <c r="O28" s="678"/>
      <c r="P28" s="678"/>
      <c r="Q28" s="678" t="s">
        <v>831</v>
      </c>
      <c r="R28" s="678" t="s">
        <v>817</v>
      </c>
      <c r="S28" s="678" t="s">
        <v>681</v>
      </c>
      <c r="T28" s="678"/>
      <c r="U28" s="891">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11</v>
      </c>
      <c r="W28" s="738">
        <v>25</v>
      </c>
      <c r="X28" s="714" t="str">
        <f t="shared" si="0"/>
        <v/>
      </c>
    </row>
    <row r="29" spans="1:24">
      <c r="A29" s="677" t="s">
        <v>2053</v>
      </c>
      <c r="B29" s="678">
        <v>28204</v>
      </c>
      <c r="C29" s="678">
        <v>1</v>
      </c>
      <c r="D29" s="678"/>
      <c r="E29" s="678">
        <v>28</v>
      </c>
      <c r="F29" s="678">
        <v>54</v>
      </c>
      <c r="G29" s="679"/>
      <c r="H29" s="679"/>
      <c r="I29" s="678"/>
      <c r="J29" s="678"/>
      <c r="K29" s="678"/>
      <c r="L29" s="678">
        <v>21</v>
      </c>
      <c r="M29" s="679"/>
      <c r="N29" s="679"/>
      <c r="O29" s="678"/>
      <c r="P29" s="678" t="s">
        <v>2146</v>
      </c>
      <c r="Q29" s="678" t="s">
        <v>2054</v>
      </c>
      <c r="R29" s="678" t="s">
        <v>1072</v>
      </c>
      <c r="S29" s="678" t="s">
        <v>673</v>
      </c>
      <c r="T29" s="678"/>
      <c r="U29" s="891">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12</v>
      </c>
      <c r="W29" s="738">
        <v>26</v>
      </c>
      <c r="X29" s="714" t="str">
        <f t="shared" si="0"/>
        <v/>
      </c>
    </row>
    <row r="30" spans="1:24">
      <c r="A30" s="677" t="s">
        <v>1891</v>
      </c>
      <c r="B30" s="678">
        <v>34927</v>
      </c>
      <c r="C30" s="678">
        <v>5</v>
      </c>
      <c r="D30" s="678"/>
      <c r="E30" s="678">
        <v>44</v>
      </c>
      <c r="F30" s="678">
        <v>102</v>
      </c>
      <c r="G30" s="679"/>
      <c r="H30" s="679">
        <v>34</v>
      </c>
      <c r="I30" s="678"/>
      <c r="J30" s="678"/>
      <c r="K30" s="678"/>
      <c r="L30" s="678">
        <v>51</v>
      </c>
      <c r="M30" s="679"/>
      <c r="N30" s="679"/>
      <c r="O30" s="678"/>
      <c r="P30" s="678"/>
      <c r="Q30" s="678" t="s">
        <v>1035</v>
      </c>
      <c r="R30" s="678" t="s">
        <v>1338</v>
      </c>
      <c r="S30" s="678" t="s">
        <v>691</v>
      </c>
      <c r="T30" s="678"/>
      <c r="U30" s="891">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677" t="s">
        <v>1527</v>
      </c>
      <c r="B31" s="678">
        <v>33704</v>
      </c>
      <c r="C31" s="678">
        <v>3</v>
      </c>
      <c r="D31" s="678"/>
      <c r="E31" s="678">
        <v>31</v>
      </c>
      <c r="F31" s="678">
        <v>48</v>
      </c>
      <c r="G31" s="679">
        <v>17</v>
      </c>
      <c r="H31" s="679">
        <v>12</v>
      </c>
      <c r="I31" s="678"/>
      <c r="J31" s="678">
        <v>84</v>
      </c>
      <c r="K31" s="678"/>
      <c r="L31" s="678">
        <v>64</v>
      </c>
      <c r="M31" s="679"/>
      <c r="N31" s="679">
        <v>25</v>
      </c>
      <c r="O31" s="678"/>
      <c r="P31" s="678" t="s">
        <v>1068</v>
      </c>
      <c r="Q31" s="678" t="s">
        <v>2090</v>
      </c>
      <c r="R31" s="678" t="s">
        <v>817</v>
      </c>
      <c r="S31" s="678" t="s">
        <v>677</v>
      </c>
      <c r="T31" s="678"/>
      <c r="U31" s="891">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4">
      <c r="A32" s="724" t="s">
        <v>2055</v>
      </c>
      <c r="B32" s="727">
        <v>24396</v>
      </c>
      <c r="C32" s="727">
        <v>1</v>
      </c>
      <c r="D32" s="727"/>
      <c r="E32" s="727">
        <v>27</v>
      </c>
      <c r="F32" s="727">
        <v>42</v>
      </c>
      <c r="G32" s="728"/>
      <c r="H32" s="728">
        <v>11</v>
      </c>
      <c r="I32" s="727"/>
      <c r="J32" s="727"/>
      <c r="K32" s="727"/>
      <c r="L32" s="727">
        <v>18</v>
      </c>
      <c r="M32" s="728"/>
      <c r="N32" s="728"/>
      <c r="O32" s="727"/>
      <c r="P32" s="727"/>
      <c r="Q32" s="727" t="s">
        <v>2093</v>
      </c>
      <c r="R32" s="727" t="s">
        <v>1072</v>
      </c>
      <c r="S32" s="678" t="s">
        <v>673</v>
      </c>
      <c r="T32" s="678"/>
      <c r="U32" s="891">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1">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13</v>
      </c>
      <c r="W32" s="738">
        <v>29</v>
      </c>
      <c r="X32" s="714" t="str">
        <f t="shared" si="0"/>
        <v/>
      </c>
    </row>
    <row r="33" spans="1:24">
      <c r="A33" s="130" t="s">
        <v>2344</v>
      </c>
      <c r="B33" s="114">
        <v>33579</v>
      </c>
      <c r="C33" s="114">
        <v>4</v>
      </c>
      <c r="D33" s="114">
        <v>46</v>
      </c>
      <c r="E33" s="114">
        <v>45</v>
      </c>
      <c r="F33" s="114"/>
      <c r="G33" s="116"/>
      <c r="H33" s="116"/>
      <c r="I33" s="114"/>
      <c r="J33" s="114">
        <v>150</v>
      </c>
      <c r="K33" s="114"/>
      <c r="L33" s="114">
        <v>36</v>
      </c>
      <c r="M33" s="116"/>
      <c r="N33" s="116"/>
      <c r="O33" s="114"/>
      <c r="P33" s="114"/>
      <c r="Q33" s="114" t="s">
        <v>1033</v>
      </c>
      <c r="R33" s="114"/>
      <c r="S33" s="681" t="s">
        <v>691</v>
      </c>
      <c r="T33" s="678"/>
      <c r="U33" s="891">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row>
    <row r="34" spans="1:24">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1" t="s">
        <v>691</v>
      </c>
      <c r="T34" s="678"/>
      <c r="U34" s="891">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14</v>
      </c>
      <c r="W34" s="738">
        <v>31</v>
      </c>
      <c r="X34" s="714" t="str">
        <f t="shared" si="0"/>
        <v/>
      </c>
    </row>
    <row r="35" spans="1:24">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20">
        <f>'Gear &amp; Buffs'!$S$160</f>
        <v>0</v>
      </c>
      <c r="S35" s="681"/>
      <c r="T35" s="678"/>
      <c r="U35" s="891">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1">
        <f>MAX($V$1:V34)+1</f>
        <v>15</v>
      </c>
      <c r="W35" s="738">
        <v>32</v>
      </c>
      <c r="X35" s="714" t="str">
        <f t="shared" si="0"/>
        <v/>
      </c>
    </row>
    <row r="36" spans="1:24">
      <c r="A36" s="10" t="s">
        <v>2207</v>
      </c>
      <c r="B36" s="114"/>
      <c r="C36" s="114"/>
      <c r="D36" s="114"/>
      <c r="E36" s="114"/>
      <c r="F36" s="114"/>
      <c r="G36" s="116"/>
      <c r="H36" s="116"/>
      <c r="I36" s="47"/>
      <c r="J36" s="114"/>
      <c r="K36" s="114"/>
      <c r="L36" s="114"/>
      <c r="M36" s="116"/>
      <c r="N36" s="116"/>
      <c r="O36" s="755"/>
      <c r="P36" s="47"/>
      <c r="Q36" s="114" t="s">
        <v>1033</v>
      </c>
      <c r="R36" s="47"/>
      <c r="S36" s="681"/>
      <c r="T36" s="717"/>
      <c r="U36" s="711"/>
      <c r="V36" s="681"/>
      <c r="W36" s="738">
        <v>33</v>
      </c>
      <c r="X36" s="714" t="str">
        <f t="shared" si="0"/>
        <v/>
      </c>
    </row>
    <row r="37" spans="1:24">
      <c r="A37" s="10"/>
      <c r="D37" s="114"/>
      <c r="E37" s="114"/>
      <c r="F37" s="114"/>
      <c r="G37" s="116"/>
      <c r="H37" s="116"/>
      <c r="J37" s="114"/>
      <c r="K37" s="114"/>
      <c r="L37" s="114"/>
      <c r="M37" s="116"/>
      <c r="N37" s="116"/>
      <c r="W37" s="738">
        <v>34</v>
      </c>
      <c r="X37" s="714" t="str">
        <f t="shared" si="0"/>
        <v/>
      </c>
    </row>
    <row r="38" spans="1:24">
      <c r="J38" s="114"/>
    </row>
    <row r="39" spans="1:24" ht="23.25" thickBot="1">
      <c r="A39" s="740" t="s">
        <v>2023</v>
      </c>
      <c r="B39" s="730" t="s">
        <v>1934</v>
      </c>
      <c r="C39" s="730" t="s">
        <v>2798</v>
      </c>
      <c r="D39" s="731" t="s">
        <v>1214</v>
      </c>
      <c r="E39" s="731" t="s">
        <v>1215</v>
      </c>
      <c r="F39" s="731" t="s">
        <v>768</v>
      </c>
      <c r="G39" s="730" t="s">
        <v>2140</v>
      </c>
      <c r="H39" s="730" t="s">
        <v>2139</v>
      </c>
      <c r="I39" s="730" t="s">
        <v>771</v>
      </c>
      <c r="J39" s="732" t="s">
        <v>770</v>
      </c>
      <c r="K39" s="730" t="s">
        <v>760</v>
      </c>
      <c r="L39" s="731" t="s">
        <v>1216</v>
      </c>
      <c r="M39" s="730" t="s">
        <v>264</v>
      </c>
      <c r="N39" s="730" t="s">
        <v>1217</v>
      </c>
      <c r="O39" s="730" t="s">
        <v>1287</v>
      </c>
      <c r="P39" s="730" t="s">
        <v>1046</v>
      </c>
      <c r="Q39" s="731" t="s">
        <v>1047</v>
      </c>
      <c r="R39" s="731" t="s">
        <v>1941</v>
      </c>
      <c r="S39" s="731" t="s">
        <v>666</v>
      </c>
      <c r="T39" s="730" t="s">
        <v>921</v>
      </c>
      <c r="U39" s="733" t="s">
        <v>265</v>
      </c>
      <c r="V39" s="744">
        <v>0</v>
      </c>
      <c r="W39" s="741"/>
      <c r="X39" s="759" t="s">
        <v>1689</v>
      </c>
    </row>
    <row r="40" spans="1:24">
      <c r="A40" s="695" t="s">
        <v>2161</v>
      </c>
      <c r="B40" s="696">
        <v>1950</v>
      </c>
      <c r="C40" s="696">
        <v>5</v>
      </c>
      <c r="D40" s="696"/>
      <c r="E40" s="696"/>
      <c r="F40" s="696"/>
      <c r="G40" s="697"/>
      <c r="H40" s="697"/>
      <c r="I40" s="697"/>
      <c r="J40" s="697"/>
      <c r="K40" s="697"/>
      <c r="L40" s="696"/>
      <c r="M40" s="697"/>
      <c r="N40" s="697"/>
      <c r="O40" s="697">
        <v>15</v>
      </c>
      <c r="P40" s="697"/>
      <c r="Q40" s="697"/>
      <c r="R40" s="696"/>
      <c r="S40" s="697" t="s">
        <v>1689</v>
      </c>
      <c r="T40" s="715" t="b">
        <v>1</v>
      </c>
      <c r="U40" s="891">
        <f>($D40*dpsStr+$E40*dpsAgi+$G40*dpsCrit+$H40*dpsHit+$F40*dpsAP+$I40*dpsHaste+$J40*dpsArmor+$K40*dpsExp)-'Gear &amp; Buffs'!$AF$43</f>
        <v>-7.3216553866573122</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7"/>
      <c r="X40" s="712"/>
    </row>
    <row r="41" spans="1:24">
      <c r="A41" s="677" t="s">
        <v>2025</v>
      </c>
      <c r="B41" s="678">
        <v>2659</v>
      </c>
      <c r="C41" s="678">
        <v>1</v>
      </c>
      <c r="D41" s="678"/>
      <c r="E41" s="678"/>
      <c r="F41" s="678"/>
      <c r="G41" s="679"/>
      <c r="H41" s="679"/>
      <c r="I41" s="682"/>
      <c r="J41" s="678"/>
      <c r="K41" s="679"/>
      <c r="L41" s="678">
        <v>15</v>
      </c>
      <c r="M41" s="679"/>
      <c r="N41" s="679"/>
      <c r="O41" s="717"/>
      <c r="P41" s="682"/>
      <c r="Q41" s="682"/>
      <c r="R41" s="682"/>
      <c r="S41" s="678" t="s">
        <v>1689</v>
      </c>
      <c r="T41" s="715" t="b">
        <v>1</v>
      </c>
      <c r="U41" s="891">
        <f>($D41*dpsStr+$E41*dpsAgi+$G41*dpsCrit+$H41*dpsHit+$F41*dpsAP+$I41*dpsHaste+$J41*dpsArmor+$K41*dpsExp)-'Gear &amp; Buffs'!$AF$43</f>
        <v>-7.3216553866573122</v>
      </c>
      <c r="V41" s="221"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8">
        <v>1</v>
      </c>
      <c r="X41" s="752" t="str">
        <f>IF(ISNA(INDEX($A$40:$A$45,MATCH(W41,V$40:V$45,0))), "", INDEX($A$40:$A$45,MATCH(W41,V$40:V$45,0)))</f>
        <v>Exceptional Stats (+6 All Stats)</v>
      </c>
    </row>
    <row r="42" spans="1:24">
      <c r="A42" s="677" t="s">
        <v>1268</v>
      </c>
      <c r="B42" s="678">
        <v>2661</v>
      </c>
      <c r="C42" s="678">
        <v>1</v>
      </c>
      <c r="D42" s="678">
        <v>6</v>
      </c>
      <c r="E42" s="678">
        <v>6</v>
      </c>
      <c r="F42" s="678"/>
      <c r="G42" s="679"/>
      <c r="H42" s="679"/>
      <c r="I42" s="678"/>
      <c r="J42" s="678"/>
      <c r="K42" s="679"/>
      <c r="L42" s="678">
        <v>6</v>
      </c>
      <c r="M42" s="679"/>
      <c r="N42" s="679"/>
      <c r="O42" s="678"/>
      <c r="P42" s="678"/>
      <c r="Q42" s="678"/>
      <c r="R42" s="678"/>
      <c r="S42" s="678" t="s">
        <v>1689</v>
      </c>
      <c r="T42" s="678" t="b">
        <v>0</v>
      </c>
      <c r="U42" s="891">
        <f>($D42*dpsStr+$E42*dpsAgi+$G42*dpsCrit+$H42*dpsHit+$F42*dpsAP+$I42*dpsHaste+$J42*dpsArmor+$K42*dpsExp)-'Gear &amp; Buffs'!$AF$43</f>
        <v>0</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8">
        <v>2</v>
      </c>
      <c r="X42" s="752" t="str">
        <f t="shared" ref="X42:X46" si="2">IF(ISNA(INDEX($A$40:$A$45,MATCH(W42,V$40:V$45,0))), "", INDEX($A$40:$A$45,MATCH(W42,V$40:V$45,0)))</f>
        <v>Greater Stats (+4 All Stats)</v>
      </c>
    </row>
    <row r="43" spans="1:24">
      <c r="A43" s="677" t="s">
        <v>2024</v>
      </c>
      <c r="B43" s="678">
        <v>1891</v>
      </c>
      <c r="C43" s="678">
        <v>1</v>
      </c>
      <c r="D43" s="678">
        <v>4</v>
      </c>
      <c r="E43" s="678">
        <v>4</v>
      </c>
      <c r="F43" s="678"/>
      <c r="G43" s="679"/>
      <c r="H43" s="679"/>
      <c r="I43" s="682"/>
      <c r="J43" s="678"/>
      <c r="K43" s="679"/>
      <c r="L43" s="678">
        <v>4</v>
      </c>
      <c r="M43" s="679"/>
      <c r="N43" s="679"/>
      <c r="O43" s="717"/>
      <c r="P43" s="682"/>
      <c r="Q43" s="682"/>
      <c r="R43" s="682"/>
      <c r="S43" s="678" t="s">
        <v>668</v>
      </c>
      <c r="T43" s="717" t="b">
        <v>0</v>
      </c>
      <c r="U43" s="891">
        <f>($D43*dpsStr+$E43*dpsAgi+$G43*dpsCrit+$H43*dpsHit+$F43*dpsAP+$I43*dpsHaste+$J43*dpsArmor+$K43*dpsExp)-'Gear &amp; Buffs'!$AF$43</f>
        <v>-2.4405517955524374</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8">
        <v>3</v>
      </c>
      <c r="X43" s="752" t="str">
        <f t="shared" si="2"/>
        <v>Stats (+3 All Stats)</v>
      </c>
    </row>
    <row r="44" spans="1:24">
      <c r="A44" s="677" t="s">
        <v>2026</v>
      </c>
      <c r="B44" s="678">
        <v>2933</v>
      </c>
      <c r="C44" s="678">
        <v>1</v>
      </c>
      <c r="D44" s="678"/>
      <c r="E44" s="678"/>
      <c r="F44" s="678"/>
      <c r="G44" s="679"/>
      <c r="H44" s="679"/>
      <c r="I44" s="690"/>
      <c r="J44" s="690"/>
      <c r="K44" s="679"/>
      <c r="L44" s="678"/>
      <c r="M44" s="679"/>
      <c r="N44" s="679">
        <v>15</v>
      </c>
      <c r="O44" s="757"/>
      <c r="P44" s="690"/>
      <c r="Q44" s="690"/>
      <c r="R44" s="690"/>
      <c r="S44" s="678" t="s">
        <v>1689</v>
      </c>
      <c r="T44" s="747" t="b">
        <v>1</v>
      </c>
      <c r="U44" s="891">
        <f>($D44*dpsStr+$E44*dpsAgi+$G44*dpsCrit+$H44*dpsHit+$F44*dpsAP+$I44*dpsHaste+$J44*dpsArmor+$K44*dpsExp)-'Gear &amp; Buffs'!$AF$43</f>
        <v>-7.3216553866573122</v>
      </c>
      <c r="V44" s="221"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8">
        <v>4</v>
      </c>
      <c r="X44" s="752" t="str">
        <f t="shared" si="2"/>
        <v/>
      </c>
    </row>
    <row r="45" spans="1:24">
      <c r="A45" s="677" t="s">
        <v>2814</v>
      </c>
      <c r="B45" s="678">
        <v>928</v>
      </c>
      <c r="C45" s="678">
        <v>1</v>
      </c>
      <c r="D45" s="678">
        <v>3</v>
      </c>
      <c r="E45" s="678">
        <v>3</v>
      </c>
      <c r="F45" s="678"/>
      <c r="G45" s="679"/>
      <c r="H45" s="679"/>
      <c r="I45" s="690"/>
      <c r="J45" s="690"/>
      <c r="K45" s="679"/>
      <c r="L45" s="678">
        <v>3</v>
      </c>
      <c r="M45" s="679"/>
      <c r="N45" s="679"/>
      <c r="O45" s="757"/>
      <c r="P45" s="690"/>
      <c r="Q45" s="690"/>
      <c r="R45" s="690"/>
      <c r="S45" s="678" t="s">
        <v>668</v>
      </c>
      <c r="T45" s="747" t="b">
        <v>0</v>
      </c>
      <c r="U45" s="891">
        <f>($D45*dpsStr+$E45*dpsAgi+$G45*dpsCrit+$H45*dpsHit+$F45*dpsAP+$I45*dpsHaste+$J45*dpsArmor+$K45*dpsExp)-'Gear &amp; Buffs'!$AF$43</f>
        <v>-3.6608276933286561</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8">
        <v>5</v>
      </c>
      <c r="X45" s="752" t="str">
        <f t="shared" si="2"/>
        <v/>
      </c>
    </row>
    <row r="46" spans="1:24">
      <c r="A46" s="677" t="s">
        <v>2207</v>
      </c>
      <c r="B46" s="678"/>
      <c r="C46" s="678"/>
      <c r="D46" s="682"/>
      <c r="E46" s="682"/>
      <c r="F46" s="682"/>
      <c r="G46" s="682"/>
      <c r="H46" s="682"/>
      <c r="I46" s="758"/>
      <c r="J46" s="682"/>
      <c r="K46" s="679"/>
      <c r="L46" s="682"/>
      <c r="M46" s="682"/>
      <c r="N46" s="717"/>
      <c r="O46" s="679"/>
      <c r="P46" s="682"/>
      <c r="Q46" s="682"/>
      <c r="R46" s="682"/>
      <c r="S46" s="678"/>
      <c r="T46" s="679"/>
      <c r="U46" s="711"/>
      <c r="V46" s="681"/>
      <c r="W46" s="738">
        <v>6</v>
      </c>
      <c r="X46" s="752" t="str">
        <f t="shared" si="2"/>
        <v/>
      </c>
    </row>
    <row r="47" spans="1:24">
      <c r="A47" s="10"/>
      <c r="D47" s="114"/>
      <c r="E47" s="114"/>
      <c r="F47" s="114"/>
      <c r="G47" s="127"/>
      <c r="H47" s="114"/>
      <c r="K47" s="116"/>
      <c r="L47" s="114"/>
      <c r="M47" s="114"/>
      <c r="N47" s="116"/>
      <c r="O47" s="116"/>
      <c r="T47" s="116"/>
    </row>
    <row r="48" spans="1:24">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H27" sqref="AH27"/>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61"/>
      <c r="V1" s="707"/>
      <c r="W1" s="762" t="s">
        <v>568</v>
      </c>
      <c r="X1" s="708" t="s">
        <v>569</v>
      </c>
      <c r="Y1" s="762"/>
      <c r="Z1" s="760" t="s">
        <v>265</v>
      </c>
      <c r="AA1" s="760"/>
      <c r="AB1" s="726">
        <v>0</v>
      </c>
      <c r="AC1" s="726"/>
      <c r="AD1" s="763"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6"/>
      <c r="V2" s="697"/>
      <c r="W2" s="699" t="s">
        <v>632</v>
      </c>
      <c r="X2" s="699">
        <v>115</v>
      </c>
      <c r="Y2" s="699"/>
      <c r="Z2" s="1354">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2"/>
      <c r="AB2" s="221">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7"/>
      <c r="AD2" s="713" t="s">
        <v>1689</v>
      </c>
    </row>
    <row r="3" spans="1:31">
      <c r="A3" s="130" t="s">
        <v>2361</v>
      </c>
      <c r="B3" s="116">
        <v>33580</v>
      </c>
      <c r="C3" s="116">
        <v>4</v>
      </c>
      <c r="D3" s="114">
        <v>21</v>
      </c>
      <c r="E3" s="114">
        <v>22</v>
      </c>
      <c r="F3" s="114"/>
      <c r="G3" s="116"/>
      <c r="H3" s="116"/>
      <c r="I3" s="116"/>
      <c r="J3" s="114"/>
      <c r="K3" s="116"/>
      <c r="L3" s="114">
        <v>31</v>
      </c>
      <c r="M3" s="116"/>
      <c r="N3" s="116"/>
      <c r="O3" s="116"/>
      <c r="P3" s="114"/>
      <c r="Q3" s="114" t="s">
        <v>1043</v>
      </c>
      <c r="R3" s="114" t="s">
        <v>2363</v>
      </c>
      <c r="S3" s="114" t="s">
        <v>691</v>
      </c>
      <c r="T3" s="116"/>
      <c r="U3" s="716"/>
      <c r="V3" s="697"/>
      <c r="W3" s="699" t="s">
        <v>191</v>
      </c>
      <c r="X3" s="699">
        <v>128</v>
      </c>
      <c r="Y3" s="699"/>
      <c r="Z3" s="1355">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2"/>
      <c r="AB3" s="221"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7"/>
      <c r="AD3" s="713" t="str">
        <f>" "</f>
        <v xml:space="preserve"> </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7"/>
      <c r="V4" s="679"/>
      <c r="W4" s="682" t="s">
        <v>191</v>
      </c>
      <c r="X4" s="682">
        <v>88</v>
      </c>
      <c r="Y4" s="682"/>
      <c r="Z4" s="1355">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3"/>
      <c r="AB4" s="221">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8">
        <v>1</v>
      </c>
      <c r="AD4" s="714" t="str">
        <f>IF(ISNA(INDEX($A$2:$A$28,MATCH(AC4,AB$2:AB$28,0))), "", INDEX($A$2:$A$28,MATCH(AC4,AB$2:AB$28,0)))</f>
        <v>Armwraps of Disdain</v>
      </c>
      <c r="AE4" s="129"/>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7"/>
      <c r="V5" s="679"/>
      <c r="W5" s="682" t="s">
        <v>632</v>
      </c>
      <c r="X5" s="682">
        <v>85</v>
      </c>
      <c r="Y5" s="682"/>
      <c r="Z5" s="1355">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3"/>
      <c r="AB5" s="221">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8">
        <v>2</v>
      </c>
      <c r="AD5" s="714" t="str">
        <f t="shared" ref="AD5:AD30" si="0">IF(ISNA(INDEX($A$2:$A$28,MATCH(AC5,AB$2:AB$28,0))), "", INDEX($A$2:$A$28,MATCH(AC5,AB$2:AB$28,0)))</f>
        <v>Bonescythe Bracers</v>
      </c>
      <c r="AE5" s="129"/>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7"/>
      <c r="V6" s="679"/>
      <c r="W6" s="682" t="s">
        <v>191</v>
      </c>
      <c r="X6" s="682">
        <v>115</v>
      </c>
      <c r="Y6" s="682"/>
      <c r="Z6" s="1355">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3"/>
      <c r="AB6" s="221">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8">
        <v>3</v>
      </c>
      <c r="AD6" s="714" t="str">
        <f t="shared" si="0"/>
        <v>Bracers of Finesse</v>
      </c>
      <c r="AE6" s="129"/>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7"/>
      <c r="V7" s="679"/>
      <c r="W7" s="682" t="s">
        <v>191</v>
      </c>
      <c r="X7" s="682">
        <v>141</v>
      </c>
      <c r="Y7" s="682"/>
      <c r="Z7" s="1355">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3"/>
      <c r="AB7" s="221"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8">
        <v>4</v>
      </c>
      <c r="AD7" s="714" t="str">
        <f t="shared" si="0"/>
        <v>Bracers of Maliciousness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7"/>
      <c r="V8" s="679"/>
      <c r="W8" s="682" t="s">
        <v>191</v>
      </c>
      <c r="X8" s="682">
        <v>113</v>
      </c>
      <c r="Y8" s="682"/>
      <c r="Z8" s="1355">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3"/>
      <c r="AB8" s="221">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8">
        <v>5</v>
      </c>
      <c r="AD8" s="714"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7"/>
      <c r="V9" s="679"/>
      <c r="W9" s="682" t="s">
        <v>191</v>
      </c>
      <c r="X9" s="682">
        <v>154</v>
      </c>
      <c r="Y9" s="682"/>
      <c r="Z9" s="1355">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3"/>
      <c r="AB9" s="221"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8">
        <v>6</v>
      </c>
      <c r="AD9" s="714" t="str">
        <f t="shared" si="0"/>
        <v>Marshal's Leather Bracers</v>
      </c>
      <c r="AE9" s="48"/>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7"/>
      <c r="V10" s="679"/>
      <c r="W10" s="682" t="s">
        <v>191</v>
      </c>
      <c r="X10" s="682">
        <v>154</v>
      </c>
      <c r="Y10" s="682"/>
      <c r="Z10" s="1355">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3"/>
      <c r="AB10" s="221"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8">
        <v>7</v>
      </c>
      <c r="AD10" s="714" t="str">
        <f t="shared" si="0"/>
        <v>Nightfall Wristguards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7"/>
      <c r="V11" s="679"/>
      <c r="W11" s="682" t="s">
        <v>191</v>
      </c>
      <c r="X11" s="682">
        <v>141</v>
      </c>
      <c r="Y11" s="682"/>
      <c r="Z11" s="1355">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3"/>
      <c r="AB11" s="221"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8">
        <v>8</v>
      </c>
      <c r="AD11" s="714" t="str">
        <f t="shared" si="0"/>
        <v>Nightstalker's Wristguards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7"/>
      <c r="V12" s="679"/>
      <c r="W12" s="682" t="s">
        <v>191</v>
      </c>
      <c r="X12" s="682">
        <v>113</v>
      </c>
      <c r="Y12" s="682"/>
      <c r="Z12" s="1355">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3"/>
      <c r="AB12" s="221">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8">
        <v>9</v>
      </c>
      <c r="AD12" s="714" t="str">
        <f t="shared" si="0"/>
        <v>Ravager's Wrist-Wraps of the Bandit</v>
      </c>
    </row>
    <row r="13" spans="1:31" s="208" customFormat="1">
      <c r="A13" s="130" t="s">
        <v>1432</v>
      </c>
      <c r="B13" s="116">
        <v>33540</v>
      </c>
      <c r="C13" s="116">
        <v>4</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7"/>
      <c r="V13" s="679"/>
      <c r="W13" s="682" t="s">
        <v>191</v>
      </c>
      <c r="X13" s="682">
        <v>128</v>
      </c>
      <c r="Y13" s="682"/>
      <c r="Z13" s="1355">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3"/>
      <c r="AB13" s="221"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8">
        <v>10</v>
      </c>
      <c r="AD13" s="714" t="str">
        <f t="shared" si="0"/>
        <v>Shackles of Quagmirran</v>
      </c>
      <c r="AE13" s="48"/>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7"/>
      <c r="V14" s="679"/>
      <c r="W14" s="682" t="s">
        <v>191</v>
      </c>
      <c r="X14" s="682">
        <v>110</v>
      </c>
      <c r="Y14" s="682"/>
      <c r="Z14" s="1355">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3"/>
      <c r="AB14" s="221">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8">
        <v>11</v>
      </c>
      <c r="AD14" s="714" t="str">
        <f t="shared" si="0"/>
        <v>Spymistress's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7"/>
      <c r="V15" s="679"/>
      <c r="W15" s="682" t="s">
        <v>1356</v>
      </c>
      <c r="X15" s="682">
        <v>111</v>
      </c>
      <c r="Y15" s="682"/>
      <c r="Z15" s="1355">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3"/>
      <c r="AB15" s="221">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8">
        <v>12</v>
      </c>
      <c r="AD15" s="714" t="str">
        <f t="shared" si="0"/>
        <v>(Unmodeled)</v>
      </c>
      <c r="AE15" s="48"/>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7"/>
      <c r="V16" s="679"/>
      <c r="W16" s="682" t="s">
        <v>191</v>
      </c>
      <c r="X16" s="682">
        <v>115</v>
      </c>
      <c r="Y16" s="682"/>
      <c r="Z16" s="1355">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3"/>
      <c r="AB16" s="221" t="str">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
      </c>
      <c r="AC16" s="738">
        <v>13</v>
      </c>
      <c r="AD16" s="714" t="str">
        <f t="shared" si="0"/>
        <v/>
      </c>
      <c r="AE16" s="48"/>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7"/>
      <c r="V17" s="679"/>
      <c r="W17" s="682" t="s">
        <v>191</v>
      </c>
      <c r="X17" s="682">
        <v>115</v>
      </c>
      <c r="Y17" s="682"/>
      <c r="Z17" s="1355">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3"/>
      <c r="AB17" s="221">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9</v>
      </c>
      <c r="AC17" s="738">
        <v>14</v>
      </c>
      <c r="AD17" s="714" t="str">
        <f t="shared" si="0"/>
        <v/>
      </c>
      <c r="AE17" s="48"/>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7"/>
      <c r="V18" s="679"/>
      <c r="W18" s="682" t="s">
        <v>632</v>
      </c>
      <c r="X18" s="682">
        <v>115</v>
      </c>
      <c r="Y18" s="682"/>
      <c r="Z18" s="1355">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3"/>
      <c r="AB18" s="221">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10</v>
      </c>
      <c r="AC18" s="738">
        <v>15</v>
      </c>
      <c r="AD18" s="714" t="str">
        <f t="shared" si="0"/>
        <v/>
      </c>
      <c r="AE18" s="48"/>
    </row>
    <row r="19" spans="1:31" s="47" customFormat="1">
      <c r="A19" s="691"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7"/>
      <c r="V19" s="679"/>
      <c r="W19" s="682" t="s">
        <v>191</v>
      </c>
      <c r="X19" s="682">
        <v>105</v>
      </c>
      <c r="Y19" s="682"/>
      <c r="Z19" s="1355">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3"/>
      <c r="AB19" s="221"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8">
        <v>16</v>
      </c>
      <c r="AD19" s="714" t="str">
        <f t="shared" si="0"/>
        <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7"/>
      <c r="V20" s="679"/>
      <c r="W20" s="682" t="s">
        <v>191</v>
      </c>
      <c r="X20" s="682">
        <v>154</v>
      </c>
      <c r="Y20" s="682"/>
      <c r="Z20" s="1355">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3"/>
      <c r="AB20" s="221"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8">
        <v>17</v>
      </c>
      <c r="AD20" s="714" t="str">
        <f t="shared" si="0"/>
        <v/>
      </c>
      <c r="AE20" s="48"/>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7"/>
      <c r="V21" s="679"/>
      <c r="W21" s="682" t="s">
        <v>632</v>
      </c>
      <c r="X21" s="682">
        <v>115</v>
      </c>
      <c r="Y21" s="682"/>
      <c r="Z21" s="1355">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3"/>
      <c r="AB21" s="221">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11</v>
      </c>
      <c r="AC21" s="738">
        <v>18</v>
      </c>
      <c r="AD21" s="714" t="str">
        <f t="shared" si="0"/>
        <v/>
      </c>
      <c r="AE21" s="48"/>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7"/>
      <c r="V22" s="679"/>
      <c r="W22" s="682" t="s">
        <v>191</v>
      </c>
      <c r="X22" s="682">
        <v>141</v>
      </c>
      <c r="Y22" s="682"/>
      <c r="Z22" s="1355">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3"/>
      <c r="AB22" s="221"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8">
        <v>19</v>
      </c>
      <c r="AD22" s="714" t="str">
        <f t="shared" si="0"/>
        <v/>
      </c>
      <c r="AE22" s="48"/>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7"/>
      <c r="V23" s="679"/>
      <c r="W23" s="682" t="s">
        <v>191</v>
      </c>
      <c r="X23" s="682">
        <v>128</v>
      </c>
      <c r="Y23" s="682"/>
      <c r="Z23" s="1355">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3"/>
      <c r="AB23" s="221"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8">
        <v>20</v>
      </c>
      <c r="AD23" s="714" t="str">
        <f t="shared" si="0"/>
        <v/>
      </c>
      <c r="AE23" s="48"/>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7"/>
      <c r="V24" s="679"/>
      <c r="W24" s="682" t="s">
        <v>191</v>
      </c>
      <c r="X24" s="682">
        <v>126</v>
      </c>
      <c r="Y24" s="682"/>
      <c r="Z24" s="1355">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3"/>
      <c r="AB24" s="221"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8">
        <v>21</v>
      </c>
      <c r="AD24" s="714" t="str">
        <f t="shared" si="0"/>
        <v/>
      </c>
      <c r="AE24" s="48"/>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7"/>
      <c r="V25" s="679"/>
      <c r="W25" s="682" t="s">
        <v>191</v>
      </c>
      <c r="X25" s="682">
        <v>141</v>
      </c>
      <c r="Y25" s="682"/>
      <c r="Z25" s="1355">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3"/>
      <c r="AB25" s="221"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8">
        <v>22</v>
      </c>
      <c r="AD25" s="714" t="str">
        <f t="shared" si="0"/>
        <v/>
      </c>
      <c r="AE25" s="48"/>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7"/>
      <c r="V26" s="679"/>
      <c r="W26" s="682" t="s">
        <v>191</v>
      </c>
      <c r="X26" s="682">
        <v>141</v>
      </c>
      <c r="Y26" s="682"/>
      <c r="Z26" s="1355">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3"/>
      <c r="AB26" s="221"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8">
        <v>23</v>
      </c>
      <c r="AD26" s="714" t="str">
        <f t="shared" si="0"/>
        <v/>
      </c>
    </row>
    <row r="27" spans="1:31">
      <c r="A27" s="130" t="s">
        <v>2497</v>
      </c>
      <c r="B27" s="116">
        <v>32532</v>
      </c>
      <c r="C27" s="116">
        <v>3</v>
      </c>
      <c r="D27" s="114"/>
      <c r="E27" s="114"/>
      <c r="F27" s="114">
        <v>60</v>
      </c>
      <c r="G27" s="116">
        <v>12</v>
      </c>
      <c r="H27" s="116"/>
      <c r="I27" s="116"/>
      <c r="J27" s="114"/>
      <c r="K27" s="116"/>
      <c r="L27" s="114"/>
      <c r="M27" s="116"/>
      <c r="N27" s="116"/>
      <c r="O27" s="116"/>
      <c r="P27" s="114"/>
      <c r="Q27" s="114" t="s">
        <v>1033</v>
      </c>
      <c r="R27" s="114"/>
      <c r="S27" s="114" t="s">
        <v>673</v>
      </c>
      <c r="T27" s="116"/>
      <c r="U27" s="687"/>
      <c r="V27" s="679"/>
      <c r="W27" s="682" t="s">
        <v>632</v>
      </c>
      <c r="X27" s="682">
        <v>115</v>
      </c>
      <c r="Y27" s="682"/>
      <c r="Z27" s="1355">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3"/>
      <c r="AB27" s="221" t="str">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
      </c>
      <c r="AC27" s="738">
        <v>24</v>
      </c>
      <c r="AD27" s="714" t="str">
        <f t="shared" si="0"/>
        <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20">
        <f>'Gear &amp; Buffs'!$S$161</f>
        <v>0</v>
      </c>
      <c r="S28" s="114"/>
      <c r="T28" s="114"/>
      <c r="U28" s="687"/>
      <c r="V28" s="678"/>
      <c r="W28" s="682"/>
      <c r="X28" s="682"/>
      <c r="Y28" s="682"/>
      <c r="Z28" s="1355">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3"/>
      <c r="AB28" s="681">
        <f>MAX($AB$1:AB27)+1</f>
        <v>12</v>
      </c>
      <c r="AC28" s="738">
        <v>25</v>
      </c>
      <c r="AD28" s="714" t="str">
        <f t="shared" si="0"/>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7"/>
      <c r="V29" s="678"/>
      <c r="W29" s="682"/>
      <c r="X29" s="682"/>
      <c r="Y29" s="682"/>
      <c r="Z29" s="678"/>
      <c r="AA29" s="711"/>
      <c r="AB29" s="681"/>
      <c r="AC29" s="738">
        <v>26</v>
      </c>
      <c r="AD29" s="714" t="str">
        <f t="shared" si="0"/>
        <v/>
      </c>
    </row>
    <row r="30" spans="1:31" s="208" customFormat="1">
      <c r="A30" s="699"/>
      <c r="B30" s="696"/>
      <c r="C30" s="696"/>
      <c r="D30" s="699"/>
      <c r="E30" s="699"/>
      <c r="F30" s="699"/>
      <c r="G30" s="699"/>
      <c r="H30" s="699"/>
      <c r="I30" s="699"/>
      <c r="J30" s="696"/>
      <c r="K30" s="715"/>
      <c r="L30" s="699"/>
      <c r="M30" s="699"/>
      <c r="N30" s="715"/>
      <c r="O30" s="715"/>
      <c r="P30" s="699"/>
      <c r="Q30" s="699"/>
      <c r="R30" s="696"/>
      <c r="S30" s="696"/>
      <c r="T30" s="715"/>
      <c r="U30" s="682"/>
      <c r="V30" s="717"/>
      <c r="W30" s="682"/>
      <c r="X30" s="682"/>
      <c r="Y30" s="682"/>
      <c r="Z30" s="678"/>
      <c r="AA30" s="678"/>
      <c r="AB30" s="684"/>
      <c r="AC30" s="738">
        <v>27</v>
      </c>
      <c r="AD30" s="714" t="str">
        <f t="shared" si="0"/>
        <v/>
      </c>
    </row>
    <row r="31" spans="1:31">
      <c r="A31" s="723"/>
      <c r="B31" s="727"/>
      <c r="C31" s="727"/>
      <c r="D31" s="723"/>
      <c r="E31" s="723"/>
      <c r="F31" s="723"/>
      <c r="G31" s="723"/>
      <c r="H31" s="723"/>
      <c r="I31" s="723"/>
      <c r="J31" s="727"/>
      <c r="K31" s="764"/>
      <c r="L31" s="723"/>
      <c r="M31" s="723"/>
      <c r="N31" s="764"/>
      <c r="O31" s="764"/>
      <c r="P31" s="723"/>
      <c r="Q31" s="723"/>
      <c r="R31" s="727"/>
      <c r="S31" s="727"/>
      <c r="T31" s="764"/>
      <c r="U31" s="723"/>
      <c r="V31" s="764"/>
      <c r="W31" s="723"/>
      <c r="X31" s="723"/>
      <c r="Y31" s="723"/>
      <c r="Z31" s="727"/>
      <c r="AA31" s="727"/>
      <c r="AB31" s="727"/>
      <c r="AC31" s="727"/>
      <c r="AD31" s="724"/>
    </row>
    <row r="32" spans="1:31" ht="23.25" thickBot="1">
      <c r="A32" s="740" t="s">
        <v>1307</v>
      </c>
      <c r="B32" s="730" t="s">
        <v>1934</v>
      </c>
      <c r="C32" s="730" t="s">
        <v>2798</v>
      </c>
      <c r="D32" s="731" t="s">
        <v>1214</v>
      </c>
      <c r="E32" s="731" t="s">
        <v>1215</v>
      </c>
      <c r="F32" s="731" t="s">
        <v>768</v>
      </c>
      <c r="G32" s="730" t="s">
        <v>2140</v>
      </c>
      <c r="H32" s="730" t="s">
        <v>2139</v>
      </c>
      <c r="I32" s="730" t="s">
        <v>771</v>
      </c>
      <c r="J32" s="732" t="s">
        <v>770</v>
      </c>
      <c r="K32" s="730" t="s">
        <v>760</v>
      </c>
      <c r="L32" s="731" t="s">
        <v>1216</v>
      </c>
      <c r="M32" s="730" t="s">
        <v>264</v>
      </c>
      <c r="N32" s="730" t="s">
        <v>1217</v>
      </c>
      <c r="O32" s="730" t="s">
        <v>1287</v>
      </c>
      <c r="P32" s="730" t="s">
        <v>1046</v>
      </c>
      <c r="Q32" s="731" t="s">
        <v>1047</v>
      </c>
      <c r="R32" s="731" t="s">
        <v>1941</v>
      </c>
      <c r="S32" s="731" t="s">
        <v>666</v>
      </c>
      <c r="T32" s="730"/>
      <c r="U32" s="765"/>
      <c r="V32" s="730"/>
      <c r="W32" s="765" t="s">
        <v>921</v>
      </c>
      <c r="X32" s="765"/>
      <c r="Y32" s="765"/>
      <c r="Z32" s="733" t="s">
        <v>265</v>
      </c>
      <c r="AA32" s="733"/>
      <c r="AB32" s="744">
        <v>0</v>
      </c>
      <c r="AC32" s="741"/>
      <c r="AD32" s="759" t="s">
        <v>1689</v>
      </c>
    </row>
    <row r="33" spans="1:30">
      <c r="A33" s="695" t="s">
        <v>1271</v>
      </c>
      <c r="B33" s="696">
        <v>1593</v>
      </c>
      <c r="C33" s="696">
        <v>1</v>
      </c>
      <c r="D33" s="696"/>
      <c r="E33" s="696"/>
      <c r="F33" s="696">
        <v>24</v>
      </c>
      <c r="G33" s="697"/>
      <c r="H33" s="697"/>
      <c r="I33" s="699"/>
      <c r="J33" s="696"/>
      <c r="K33" s="715"/>
      <c r="L33" s="696"/>
      <c r="M33" s="697"/>
      <c r="N33" s="715"/>
      <c r="O33" s="715"/>
      <c r="P33" s="699"/>
      <c r="Q33" s="699"/>
      <c r="R33" s="696"/>
      <c r="S33" s="696" t="s">
        <v>1689</v>
      </c>
      <c r="T33" s="715"/>
      <c r="U33" s="699"/>
      <c r="V33" s="715"/>
      <c r="W33" s="699" t="b">
        <v>0</v>
      </c>
      <c r="X33" s="699"/>
      <c r="Y33" s="699"/>
      <c r="Z33" s="1355">
        <f>($D33*dpsStr+$E33*dpsAgi+$G33*dpsCrit+$H33*dpsHit+$F33*dpsAP+$I33*dpsHaste+$J33*dpsArmor+$K33*dpsExp)-'Gear &amp; Buffs'!$AF$48</f>
        <v>0</v>
      </c>
      <c r="AA33" s="1356"/>
      <c r="AB33" s="221">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7"/>
      <c r="AD33" s="712"/>
    </row>
    <row r="34" spans="1:30">
      <c r="A34" s="677" t="s">
        <v>1308</v>
      </c>
      <c r="B34" s="678">
        <v>2649</v>
      </c>
      <c r="C34" s="678">
        <v>1</v>
      </c>
      <c r="D34" s="678"/>
      <c r="E34" s="678"/>
      <c r="F34" s="678"/>
      <c r="G34" s="679"/>
      <c r="H34" s="679"/>
      <c r="I34" s="682"/>
      <c r="J34" s="678"/>
      <c r="K34" s="717"/>
      <c r="L34" s="678">
        <v>12</v>
      </c>
      <c r="M34" s="682"/>
      <c r="N34" s="717"/>
      <c r="O34" s="717"/>
      <c r="P34" s="682"/>
      <c r="Q34" s="682"/>
      <c r="R34" s="678"/>
      <c r="S34" s="678" t="s">
        <v>1689</v>
      </c>
      <c r="T34" s="717"/>
      <c r="U34" s="682"/>
      <c r="V34" s="717"/>
      <c r="W34" s="682" t="b">
        <v>1</v>
      </c>
      <c r="X34" s="682"/>
      <c r="Y34" s="682"/>
      <c r="Z34" s="1355">
        <f>($D34*dpsStr+$E34*dpsAgi+$G34*dpsCrit+$H34*dpsHit+$F34*dpsAP+$I34*dpsHaste+$J34*dpsArmor+$K34*dpsExp)-'Gear &amp; Buffs'!$AF$48</f>
        <v>-8.5759206205239025</v>
      </c>
      <c r="AA34" s="721"/>
      <c r="AB34" s="221"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8">
        <v>1</v>
      </c>
      <c r="AD34" s="714" t="str">
        <f>IF(ISNA(INDEX($A$33:$A$37,MATCH(AC34,AB$33:AB$37,0))), "", INDEX($A$33:$A$37,MATCH(AC34,AB$33:AB$37,0)))</f>
        <v>Assault (+24 ap)</v>
      </c>
    </row>
    <row r="35" spans="1:30">
      <c r="A35" s="677" t="s">
        <v>2162</v>
      </c>
      <c r="B35" s="678">
        <v>2648</v>
      </c>
      <c r="C35" s="678">
        <v>1</v>
      </c>
      <c r="D35" s="678"/>
      <c r="E35" s="678"/>
      <c r="F35" s="678"/>
      <c r="G35" s="679"/>
      <c r="H35" s="679"/>
      <c r="I35" s="682"/>
      <c r="J35" s="678"/>
      <c r="K35" s="717"/>
      <c r="L35" s="678"/>
      <c r="M35" s="682"/>
      <c r="N35" s="717"/>
      <c r="O35" s="717">
        <v>12</v>
      </c>
      <c r="P35" s="682"/>
      <c r="Q35" s="682"/>
      <c r="R35" s="678"/>
      <c r="S35" s="678" t="s">
        <v>1689</v>
      </c>
      <c r="T35" s="717"/>
      <c r="U35" s="682"/>
      <c r="V35" s="717"/>
      <c r="W35" s="682" t="b">
        <v>1</v>
      </c>
      <c r="X35" s="682"/>
      <c r="Y35" s="682"/>
      <c r="Z35" s="1355">
        <f>($D35*dpsStr+$E35*dpsAgi+$G35*dpsCrit+$H35*dpsHit+$F35*dpsAP+$I35*dpsHaste+$J35*dpsArmor+$K35*dpsExp)-'Gear &amp; Buffs'!$AF$48</f>
        <v>-8.5759206205239025</v>
      </c>
      <c r="AA35" s="721"/>
      <c r="AB35" s="221"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8">
        <v>2</v>
      </c>
      <c r="AD35" s="714" t="str">
        <f t="shared" ref="AD35:AD38" si="1">IF(ISNA(INDEX($A$33:$A$37,MATCH(AC35,AB$33:AB$37,0))), "", INDEX($A$33:$A$37,MATCH(AC35,AB$33:AB$37,0)))</f>
        <v>Stats (+4 All Stats)</v>
      </c>
    </row>
    <row r="36" spans="1:30">
      <c r="A36" s="677" t="s">
        <v>2956</v>
      </c>
      <c r="B36" s="678">
        <v>1891</v>
      </c>
      <c r="C36" s="678">
        <v>1</v>
      </c>
      <c r="D36" s="678">
        <v>4</v>
      </c>
      <c r="E36" s="678">
        <v>4</v>
      </c>
      <c r="F36" s="678"/>
      <c r="G36" s="679"/>
      <c r="H36" s="679"/>
      <c r="I36" s="682"/>
      <c r="J36" s="678"/>
      <c r="K36" s="717"/>
      <c r="L36" s="678">
        <v>4</v>
      </c>
      <c r="M36" s="679"/>
      <c r="N36" s="717"/>
      <c r="O36" s="717"/>
      <c r="P36" s="682"/>
      <c r="Q36" s="682"/>
      <c r="R36" s="678"/>
      <c r="S36" s="678" t="s">
        <v>1689</v>
      </c>
      <c r="T36" s="717"/>
      <c r="U36" s="682"/>
      <c r="V36" s="717"/>
      <c r="W36" s="682" t="b">
        <v>0</v>
      </c>
      <c r="X36" s="682"/>
      <c r="Y36" s="682"/>
      <c r="Z36" s="1355">
        <f>($D36*dpsStr+$E36*dpsAgi+$G36*dpsCrit+$H36*dpsHit+$F36*dpsAP+$I36*dpsHaste+$J36*dpsArmor+$K36*dpsExp)-'Gear &amp; Buffs'!$AF$48</f>
        <v>-3.6948170294190277</v>
      </c>
      <c r="AA36" s="721"/>
      <c r="AB36" s="221">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8">
        <v>3</v>
      </c>
      <c r="AD36" s="714" t="str">
        <f t="shared" si="1"/>
        <v>Superior Strength (+9 Strength)</v>
      </c>
    </row>
    <row r="37" spans="1:30">
      <c r="A37" s="677" t="s">
        <v>2815</v>
      </c>
      <c r="B37" s="678">
        <v>1885</v>
      </c>
      <c r="C37" s="678">
        <v>1</v>
      </c>
      <c r="D37" s="678">
        <v>9</v>
      </c>
      <c r="E37" s="678"/>
      <c r="F37" s="678"/>
      <c r="G37" s="679"/>
      <c r="H37" s="679"/>
      <c r="I37" s="682"/>
      <c r="J37" s="678"/>
      <c r="K37" s="717"/>
      <c r="L37" s="678"/>
      <c r="M37" s="679"/>
      <c r="N37" s="717"/>
      <c r="O37" s="717"/>
      <c r="P37" s="682"/>
      <c r="Q37" s="682"/>
      <c r="R37" s="678"/>
      <c r="S37" s="678" t="s">
        <v>668</v>
      </c>
      <c r="T37" s="717"/>
      <c r="U37" s="682"/>
      <c r="V37" s="717"/>
      <c r="W37" s="682" t="b">
        <v>0</v>
      </c>
      <c r="X37" s="682"/>
      <c r="Y37" s="682"/>
      <c r="Z37" s="1355">
        <f>($D37*dpsStr+$E37*dpsAgi+$G37*dpsCrit+$H37*dpsHit+$F37*dpsAP+$I37*dpsHaste+$J37*dpsArmor+$K37*dpsExp)-'Gear &amp; Buffs'!$AF$48</f>
        <v>-5.0383533645526768</v>
      </c>
      <c r="AA37" s="721"/>
      <c r="AB37" s="221">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8">
        <v>4</v>
      </c>
      <c r="AD37" s="714" t="str">
        <f t="shared" si="1"/>
        <v/>
      </c>
    </row>
    <row r="38" spans="1:30">
      <c r="A38" s="677" t="s">
        <v>2207</v>
      </c>
      <c r="B38" s="678"/>
      <c r="C38" s="678"/>
      <c r="D38" s="678"/>
      <c r="E38" s="678"/>
      <c r="F38" s="678"/>
      <c r="G38" s="679"/>
      <c r="H38" s="679"/>
      <c r="I38" s="682"/>
      <c r="J38" s="678"/>
      <c r="K38" s="717"/>
      <c r="L38" s="678"/>
      <c r="M38" s="679"/>
      <c r="N38" s="717"/>
      <c r="O38" s="717"/>
      <c r="P38" s="682"/>
      <c r="Q38" s="682"/>
      <c r="R38" s="678"/>
      <c r="S38" s="678"/>
      <c r="T38" s="717"/>
      <c r="U38" s="47"/>
      <c r="V38" s="717"/>
      <c r="W38" s="47"/>
      <c r="X38" s="47"/>
      <c r="Y38" s="47"/>
      <c r="Z38" s="678"/>
      <c r="AA38" s="711"/>
      <c r="AB38" s="681"/>
      <c r="AC38" s="738">
        <v>5</v>
      </c>
      <c r="AD38" s="714" t="str">
        <f t="shared" si="1"/>
        <v/>
      </c>
    </row>
    <row r="39" spans="1:30">
      <c r="B39" s="114"/>
      <c r="C39" s="114"/>
      <c r="I39" s="114"/>
      <c r="J39" s="114"/>
      <c r="K39" s="114"/>
      <c r="M39" s="116"/>
      <c r="N39" s="114"/>
      <c r="O39" s="114"/>
      <c r="P39" s="114"/>
      <c r="Q39" s="114"/>
      <c r="R39" s="114"/>
      <c r="T39" s="114"/>
      <c r="V39" s="114"/>
      <c r="AD39" s="678"/>
    </row>
    <row r="40" spans="1:30">
      <c r="A40" s="10"/>
      <c r="B40" s="114"/>
      <c r="C40" s="114"/>
      <c r="D40" s="114"/>
      <c r="E40" s="114"/>
      <c r="F40" s="114"/>
      <c r="G40" s="127"/>
      <c r="H40" s="114"/>
      <c r="I40" s="114"/>
      <c r="J40" s="114"/>
      <c r="K40" s="116"/>
      <c r="L40" s="114"/>
      <c r="M40" s="114"/>
      <c r="N40" s="116"/>
      <c r="O40" s="116"/>
      <c r="P40" s="114"/>
      <c r="Q40" s="114"/>
      <c r="R40" s="114"/>
      <c r="T40" s="116"/>
      <c r="V40" s="116"/>
      <c r="AD40" s="682"/>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topLeftCell="A16" workbookViewId="0">
      <selection activeCell="X4" sqref="X4"/>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4" s="725"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2075</v>
      </c>
    </row>
    <row r="2" spans="1:24">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1"/>
      <c r="U2" s="891">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1">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row>
    <row r="3" spans="1:24">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1"/>
      <c r="U3" s="891">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1"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1"/>
      <c r="U4" s="891">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1">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Gauntlets</v>
      </c>
    </row>
    <row r="5" spans="1:24">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1"/>
      <c r="U5" s="891">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1"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Cobrascale Gloves</v>
      </c>
    </row>
    <row r="6" spans="1:24">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1"/>
      <c r="U6" s="891">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1">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Deft Handguards</v>
      </c>
    </row>
    <row r="7" spans="1:24">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1"/>
      <c r="U7" s="891">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1"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Fel Leather Gloves</v>
      </c>
    </row>
    <row r="8" spans="1:24">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1"/>
      <c r="U8" s="891">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1">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Flesh Handler's Gauntlets</v>
      </c>
    </row>
    <row r="9" spans="1:24">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1"/>
      <c r="U9" s="891">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1">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Gladiator's Leather Gloves</v>
      </c>
    </row>
    <row r="10" spans="1:24">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1"/>
      <c r="U10" s="891">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1">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Gloves of Dexterous Manipulation</v>
      </c>
    </row>
    <row r="11" spans="1:24"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1"/>
      <c r="U11" s="891">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1">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Gloves of the Nether-Stalker</v>
      </c>
    </row>
    <row r="12" spans="1:24">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1"/>
      <c r="U12" s="891">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1"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Gloves of the Unbound</v>
      </c>
    </row>
    <row r="13" spans="1:24">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7"/>
      <c r="U13" s="891">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1"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Grips of the Deftness</v>
      </c>
    </row>
    <row r="14" spans="1:24">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7"/>
      <c r="U14" s="891">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1">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8">
        <v>11</v>
      </c>
      <c r="X14" s="714" t="str">
        <f t="shared" si="0"/>
        <v>Handgrips of Assassination</v>
      </c>
    </row>
    <row r="15" spans="1:24">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7"/>
      <c r="U15" s="891">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1"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Liar's Tongue Gloves</v>
      </c>
    </row>
    <row r="16" spans="1:24">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1"/>
      <c r="U16" s="891">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1">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8">
        <v>13</v>
      </c>
      <c r="X16" s="714" t="str">
        <f t="shared" si="0"/>
        <v>Master Thief's Gloves</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7"/>
      <c r="U17" s="891">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1"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8">
        <v>14</v>
      </c>
      <c r="X17" s="714" t="str">
        <f t="shared" si="0"/>
        <v>Netherblade Gloves</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1"/>
      <c r="U18" s="891">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1">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8">
        <v>15</v>
      </c>
      <c r="X18" s="714" t="str">
        <f t="shared" si="0"/>
        <v>Precise Gloves of Alacrity</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1"/>
      <c r="U19" s="891">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1">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8">
        <v>16</v>
      </c>
      <c r="X19" s="714" t="str">
        <f t="shared" si="0"/>
        <v>Opportunist's Leather Gloves (A)</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1"/>
      <c r="U20" s="891">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1"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Opportunist's Leather Gloves (H)</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1"/>
      <c r="U21" s="891">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1">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Predatory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1"/>
      <c r="U22" s="891">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1">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Rapscallion's Touch</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1"/>
      <c r="U23" s="891">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1"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8">
        <v>20</v>
      </c>
      <c r="X23" s="714" t="str">
        <f t="shared" si="0"/>
        <v>Wastewalker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1"/>
      <c r="U24" s="891">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1">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8">
        <v>21</v>
      </c>
      <c r="X24" s="714" t="str">
        <f t="shared" si="0"/>
        <v>Windslayer Wraps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1"/>
      <c r="U25" s="891">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1">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(Unmodeled)</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1"/>
      <c r="U26" s="891">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1">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8">
        <v>23</v>
      </c>
      <c r="X26" s="714" t="str">
        <f t="shared" si="0"/>
        <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1"/>
      <c r="U27" s="891">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1">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8">
        <v>24</v>
      </c>
      <c r="X27" s="714" t="str">
        <f t="shared" ref="X27" si="1">IF(ISNA(INDEX($A$2:$A$36,MATCH(W27,V$2:V$36,0))), "", INDEX($A$2:$A$36,MATCH(W27,V$2:V$36,0)))</f>
        <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1"/>
      <c r="U28" s="891">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1">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8">
        <v>25</v>
      </c>
      <c r="X28" s="714" t="str">
        <f t="shared" si="0"/>
        <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1"/>
      <c r="U29" s="891">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1">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8">
        <v>26</v>
      </c>
      <c r="X29" s="714" t="str">
        <f t="shared" si="0"/>
        <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1"/>
      <c r="U30" s="891">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1"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1"/>
      <c r="U31" s="891">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1"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30" t="s">
        <v>1434</v>
      </c>
      <c r="B32" s="114">
        <v>33539</v>
      </c>
      <c r="C32" s="114">
        <v>4</v>
      </c>
      <c r="D32" s="114"/>
      <c r="E32" s="114">
        <v>30</v>
      </c>
      <c r="F32" s="114">
        <v>68</v>
      </c>
      <c r="G32" s="116"/>
      <c r="H32" s="116"/>
      <c r="I32" s="114">
        <v>25</v>
      </c>
      <c r="J32" s="114"/>
      <c r="K32" s="114"/>
      <c r="L32" s="114">
        <v>28</v>
      </c>
      <c r="M32" s="116"/>
      <c r="N32" s="116"/>
      <c r="O32" s="114"/>
      <c r="P32" s="114"/>
      <c r="Q32" s="114" t="s">
        <v>1033</v>
      </c>
      <c r="R32" s="47"/>
      <c r="S32" s="114" t="s">
        <v>691</v>
      </c>
      <c r="T32" s="681"/>
      <c r="U32" s="891">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1"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1"/>
      <c r="U33" s="891">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1"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
      </c>
      <c r="Y33" s="129"/>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1"/>
      <c r="U34" s="891">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1">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8">
        <v>31</v>
      </c>
      <c r="X34" s="714" t="str">
        <f t="shared" si="0"/>
        <v/>
      </c>
      <c r="Y34" s="129"/>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1"/>
      <c r="U35" s="891">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1">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8">
        <v>32</v>
      </c>
      <c r="X35" s="714" t="str">
        <f t="shared" si="0"/>
        <v/>
      </c>
      <c r="Y35" s="129"/>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20">
        <f>'Gear &amp; Buffs'!$S$162</f>
        <v>0</v>
      </c>
      <c r="S36" s="114"/>
      <c r="T36" s="766"/>
      <c r="U36" s="891">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1">
        <f>MAX($V$1:V35)+1</f>
        <v>22</v>
      </c>
      <c r="W36" s="738">
        <v>33</v>
      </c>
      <c r="X36" s="714" t="str">
        <f t="shared" si="0"/>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1"/>
      <c r="U37" s="711"/>
      <c r="V37" s="681"/>
      <c r="W37" s="738">
        <v>34</v>
      </c>
      <c r="X37" s="714" t="str">
        <f t="shared" si="0"/>
        <v/>
      </c>
      <c r="Y37" s="129"/>
    </row>
    <row r="38" spans="1:25">
      <c r="J38" s="114"/>
      <c r="W38" s="738">
        <v>35</v>
      </c>
      <c r="X38" s="714" t="str">
        <f t="shared" si="0"/>
        <v/>
      </c>
      <c r="Y38" s="129"/>
    </row>
    <row r="39" spans="1:25">
      <c r="J39" s="114"/>
      <c r="R39" s="114"/>
    </row>
    <row r="40" spans="1:25" ht="23.25" thickBot="1">
      <c r="A40" s="740" t="s">
        <v>18</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35" t="s">
        <v>1689</v>
      </c>
    </row>
    <row r="41" spans="1:25">
      <c r="A41" s="695" t="s">
        <v>21</v>
      </c>
      <c r="B41" s="697">
        <v>1594</v>
      </c>
      <c r="C41" s="697">
        <v>1</v>
      </c>
      <c r="D41" s="696"/>
      <c r="E41" s="696"/>
      <c r="F41" s="696">
        <v>26</v>
      </c>
      <c r="G41" s="697"/>
      <c r="H41" s="697"/>
      <c r="I41" s="697"/>
      <c r="J41" s="696"/>
      <c r="K41" s="697"/>
      <c r="L41" s="696"/>
      <c r="M41" s="697"/>
      <c r="N41" s="697"/>
      <c r="O41" s="697"/>
      <c r="P41" s="697"/>
      <c r="Q41" s="697"/>
      <c r="R41" s="697"/>
      <c r="S41" s="696" t="s">
        <v>1689</v>
      </c>
      <c r="T41" s="697" t="b">
        <v>0</v>
      </c>
      <c r="U41" s="891">
        <f>($D41*dpsStr+$E41*dpsAgi+$G41*dpsCrit+$H41*dpsHit+$F41*dpsAP+$I41*dpsHaste+$J41*dpsArmor+$K41*dpsExp)-'Gear &amp; Buffs'!$AF$51</f>
        <v>-3.1176123677903433</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7"/>
      <c r="X41" s="737"/>
    </row>
    <row r="42" spans="1:25">
      <c r="A42" s="677" t="s">
        <v>19</v>
      </c>
      <c r="B42" s="679">
        <v>1887</v>
      </c>
      <c r="C42" s="679">
        <v>1</v>
      </c>
      <c r="D42" s="678"/>
      <c r="E42" s="678">
        <v>7</v>
      </c>
      <c r="F42" s="678"/>
      <c r="G42" s="679"/>
      <c r="H42" s="679"/>
      <c r="I42" s="679"/>
      <c r="J42" s="678"/>
      <c r="K42" s="679"/>
      <c r="L42" s="678"/>
      <c r="M42" s="679"/>
      <c r="N42" s="679"/>
      <c r="O42" s="679"/>
      <c r="P42" s="678"/>
      <c r="Q42" s="678"/>
      <c r="R42" s="678"/>
      <c r="S42" s="678" t="s">
        <v>668</v>
      </c>
      <c r="T42" s="679" t="b">
        <v>0</v>
      </c>
      <c r="U42" s="891">
        <f>($D42*dpsStr+$E42*dpsAgi+$G42*dpsCrit+$H42*dpsHit+$F42*dpsAP+$I42*dpsHaste+$J42*dpsArmor+$K42*dpsExp)-'Gear &amp; Buffs'!$AF$51</f>
        <v>-6.6177029546797712</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8">
        <v>1</v>
      </c>
      <c r="X42" s="752" t="str">
        <f>IF(ISNA(INDEX($A$41:$A$44,MATCH(W42,V$41:V$44,0))), "", INDEX($A$41:$A$44,MATCH(W42,V$41:V$44,0)))</f>
        <v>Assault (+26 ap)</v>
      </c>
    </row>
    <row r="43" spans="1:25">
      <c r="A43" s="677" t="s">
        <v>20</v>
      </c>
      <c r="B43" s="679">
        <v>931</v>
      </c>
      <c r="C43" s="679">
        <v>1</v>
      </c>
      <c r="D43" s="678"/>
      <c r="E43" s="678"/>
      <c r="F43" s="678"/>
      <c r="G43" s="679"/>
      <c r="H43" s="679"/>
      <c r="I43" s="679">
        <v>10</v>
      </c>
      <c r="J43" s="678"/>
      <c r="K43" s="679"/>
      <c r="L43" s="678"/>
      <c r="M43" s="679"/>
      <c r="N43" s="679"/>
      <c r="O43" s="679"/>
      <c r="P43" s="678"/>
      <c r="Q43" s="678"/>
      <c r="R43" s="678"/>
      <c r="S43" s="678" t="s">
        <v>668</v>
      </c>
      <c r="T43" s="679" t="b">
        <v>0</v>
      </c>
      <c r="U43" s="891">
        <f>($D43*dpsStr+$E43*dpsAgi+$G43*dpsCrit+$H43*dpsHit+$F43*dpsAP+$I43*dpsHaste+$J43*dpsArmor+$K43*dpsExp)-'Gear &amp; Buffs'!$AF$51</f>
        <v>24.305654350176837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8">
        <v>2</v>
      </c>
      <c r="X43" s="752" t="str">
        <f>IF(ISNA(INDEX($A$41:$A$44,MATCH(W43,V$41:V$44,0))), "", INDEX($A$41:$A$44,MATCH(W43,V$41:V$44,0)))</f>
        <v>Greater Agility (+7 Agility)</v>
      </c>
    </row>
    <row r="44" spans="1:25">
      <c r="A44" s="677" t="s">
        <v>2077</v>
      </c>
      <c r="B44" s="679">
        <v>2564</v>
      </c>
      <c r="C44" s="679">
        <v>1</v>
      </c>
      <c r="D44" s="678"/>
      <c r="E44" s="678">
        <v>15</v>
      </c>
      <c r="F44" s="678"/>
      <c r="G44" s="679"/>
      <c r="H44" s="679"/>
      <c r="I44" s="679"/>
      <c r="J44" s="682"/>
      <c r="K44" s="679"/>
      <c r="L44" s="678"/>
      <c r="M44" s="679"/>
      <c r="N44" s="679"/>
      <c r="O44" s="679"/>
      <c r="P44" s="717"/>
      <c r="Q44" s="717"/>
      <c r="R44" s="717"/>
      <c r="S44" s="678" t="s">
        <v>668</v>
      </c>
      <c r="T44" s="679" t="b">
        <v>0</v>
      </c>
      <c r="U44" s="891">
        <f>($D44*dpsStr+$E44*dpsAgi+$G44*dpsCrit+$H44*dpsHit+$F44*dpsAP+$I44*dpsHaste+$J44*dpsArmor+$K44*dpsExp)-'Gear &amp; Buffs'!$AF$51</f>
        <v>0</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8">
        <v>3</v>
      </c>
      <c r="X44" s="752" t="str">
        <f>IF(ISNA(INDEX($A$41:$A$44,MATCH(W44,V$41:V$44,0))), "", INDEX($A$41:$A$44,MATCH(W44,V$41:V$44,0)))</f>
        <v>Minor Haste (+10 Haste)</v>
      </c>
    </row>
    <row r="45" spans="1:25">
      <c r="A45" s="677" t="s">
        <v>2207</v>
      </c>
      <c r="B45" s="682"/>
      <c r="C45" s="682"/>
      <c r="D45" s="682"/>
      <c r="E45" s="682"/>
      <c r="F45" s="682"/>
      <c r="G45" s="682"/>
      <c r="H45" s="682"/>
      <c r="I45" s="717"/>
      <c r="J45" s="682"/>
      <c r="K45" s="682"/>
      <c r="L45" s="682"/>
      <c r="M45" s="682"/>
      <c r="N45" s="682"/>
      <c r="O45" s="682"/>
      <c r="P45" s="685"/>
      <c r="Q45" s="685"/>
      <c r="R45" s="685"/>
      <c r="S45" s="682"/>
      <c r="T45" s="682"/>
      <c r="U45" s="768"/>
      <c r="V45" s="681"/>
      <c r="W45" s="738">
        <v>4</v>
      </c>
      <c r="X45" s="752"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topLeftCell="A10" workbookViewId="0">
      <selection activeCell="X4" sqref="X4"/>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1046</v>
      </c>
      <c r="Q1" s="704" t="s">
        <v>1047</v>
      </c>
      <c r="R1" s="704" t="s">
        <v>1941</v>
      </c>
      <c r="S1" s="704" t="s">
        <v>666</v>
      </c>
      <c r="T1" s="706"/>
      <c r="U1" s="702" t="s">
        <v>265</v>
      </c>
      <c r="V1" s="743">
        <v>0</v>
      </c>
      <c r="W1" s="743"/>
      <c r="X1" s="700" t="s">
        <v>2078</v>
      </c>
      <c r="Y1" s="47"/>
      <c r="Z1" s="47"/>
    </row>
    <row r="2" spans="1:26">
      <c r="A2" s="691"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1">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c r="Y2" s="47"/>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1">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c r="Y3" s="47"/>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1">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8">
        <v>1</v>
      </c>
      <c r="X4" s="714" t="str">
        <f>IF(ISNA(INDEX($A$2:$A$37,MATCH(W4,V$2:V$37,0))), "", INDEX($A$2:$A$37,MATCH(W4,V$2:V$37,0)))</f>
        <v>Belt of Never-ending Agony</v>
      </c>
      <c r="Y4" s="47"/>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1">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9" si="0">IF(ISNA(INDEX($A$2:$A$37,MATCH(W5,V$2:V$37,0))), "", INDEX($A$2:$A$37,MATCH(W5,V$2:V$37,0)))</f>
        <v>Bonescythe Waistguard</v>
      </c>
      <c r="Y5" s="47"/>
      <c r="Z5" s="47"/>
    </row>
    <row r="6" spans="1:26">
      <c r="A6" s="130" t="s">
        <v>2347</v>
      </c>
      <c r="B6" s="114">
        <v>32769</v>
      </c>
      <c r="C6" s="114">
        <v>3</v>
      </c>
      <c r="D6" s="114">
        <v>25</v>
      </c>
      <c r="E6" s="114">
        <v>17</v>
      </c>
      <c r="F6" s="114"/>
      <c r="G6" s="116"/>
      <c r="H6" s="116"/>
      <c r="I6" s="114"/>
      <c r="J6" s="114"/>
      <c r="K6" s="114"/>
      <c r="L6" s="114">
        <v>22</v>
      </c>
      <c r="M6" s="116"/>
      <c r="N6" s="116"/>
      <c r="O6" s="114"/>
      <c r="P6" s="114"/>
      <c r="Q6" s="114" t="s">
        <v>1037</v>
      </c>
      <c r="R6" s="114" t="s">
        <v>22</v>
      </c>
      <c r="S6" s="114" t="s">
        <v>673</v>
      </c>
      <c r="T6" s="114"/>
      <c r="U6" s="891">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8">
        <v>3</v>
      </c>
      <c r="X6" s="714" t="str">
        <f t="shared" si="0"/>
        <v>Dunewind Sash</v>
      </c>
      <c r="Y6" s="47"/>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1">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Epoch's Whispering Cinch</v>
      </c>
      <c r="Y7" s="47"/>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1">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Eva's Strap</v>
      </c>
      <c r="Y8" s="47"/>
      <c r="Z8" s="47"/>
    </row>
    <row r="9" spans="1:26">
      <c r="A9" s="10" t="s">
        <v>2348</v>
      </c>
      <c r="B9" s="114">
        <v>22482</v>
      </c>
      <c r="C9" s="114">
        <v>1</v>
      </c>
      <c r="D9" s="114">
        <v>23</v>
      </c>
      <c r="E9" s="114">
        <v>24</v>
      </c>
      <c r="F9" s="114"/>
      <c r="G9" s="116">
        <v>14</v>
      </c>
      <c r="H9" s="116"/>
      <c r="I9" s="114"/>
      <c r="J9" s="114"/>
      <c r="K9" s="114"/>
      <c r="L9" s="114">
        <v>20</v>
      </c>
      <c r="M9" s="116"/>
      <c r="N9" s="116"/>
      <c r="O9" s="114"/>
      <c r="P9" s="114"/>
      <c r="Q9" s="114" t="s">
        <v>1033</v>
      </c>
      <c r="R9" s="114"/>
      <c r="S9" s="114" t="s">
        <v>668</v>
      </c>
      <c r="T9" s="114"/>
      <c r="U9" s="891">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2</v>
      </c>
      <c r="W9" s="738">
        <v>6</v>
      </c>
      <c r="X9" s="714" t="str">
        <f t="shared" si="0"/>
        <v>General's Leather Belt</v>
      </c>
      <c r="Y9" s="47"/>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1">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Girdle of the Deathdealer</v>
      </c>
      <c r="Y10" s="47"/>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1">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3</v>
      </c>
      <c r="W11" s="738">
        <v>8</v>
      </c>
      <c r="X11" s="714" t="str">
        <f t="shared" si="0"/>
        <v>Girdle of Treachery</v>
      </c>
      <c r="Y11" s="114"/>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1">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4</v>
      </c>
      <c r="W12" s="738">
        <v>9</v>
      </c>
      <c r="X12" s="714" t="str">
        <f t="shared" si="0"/>
        <v>Gronn-Stitched Girdle</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1">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5</v>
      </c>
      <c r="W13" s="738">
        <v>10</v>
      </c>
      <c r="X13" s="714" t="str">
        <f t="shared" si="0"/>
        <v>Kirin'Var Scout's Belt</v>
      </c>
      <c r="Y13" s="47"/>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1">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8">
        <v>11</v>
      </c>
      <c r="X14" s="714" t="str">
        <f t="shared" si="0"/>
        <v>Lurker's Grasp of the Bandit</v>
      </c>
      <c r="Y14" s="47"/>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1">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Marshal's Leather Belt</v>
      </c>
      <c r="Y15" s="47"/>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1">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Naaru Belt of Precision</v>
      </c>
      <c r="Y16" s="47"/>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1">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Pilgrim's Belt</v>
      </c>
      <c r="Y17" s="47"/>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1">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8">
        <v>15</v>
      </c>
      <c r="X18" s="714" t="str">
        <f t="shared" ref="X18" si="1">IF(ISNA(INDEX($A$2:$A$37,MATCH(W18,V$2:V$37,0))), "", INDEX($A$2:$A$37,MATCH(W18,V$2:V$37,0)))</f>
        <v>Sash of Silent Blades</v>
      </c>
      <c r="Y18" s="47"/>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1">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8">
        <v>15</v>
      </c>
      <c r="X19" s="714" t="str">
        <f t="shared" si="0"/>
        <v>Sash of Silent Blades</v>
      </c>
      <c r="Y19" s="47"/>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1">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10</v>
      </c>
      <c r="W20" s="738">
        <v>15</v>
      </c>
      <c r="X20" s="714" t="str">
        <f t="shared" ref="X20" si="2">IF(ISNA(INDEX($A$2:$A$37,MATCH(W20,V$2:V$37,0))), "", INDEX($A$2:$A$37,MATCH(W20,V$2:V$37,0)))</f>
        <v>Sash of Silent Blades</v>
      </c>
      <c r="Y20" s="47"/>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1">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10</v>
      </c>
      <c r="W21" s="738">
        <v>16</v>
      </c>
      <c r="X21" s="714" t="str">
        <f t="shared" si="0"/>
        <v>Shifting Sash of Midnight</v>
      </c>
      <c r="Y21" s="47"/>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1">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8">
        <v>17</v>
      </c>
      <c r="X22" s="714" t="str">
        <f t="shared" si="0"/>
        <v>Socrethar's Girdle</v>
      </c>
      <c r="Y22" s="47"/>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1">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18</v>
      </c>
      <c r="X23" s="714" t="str">
        <f t="shared" si="0"/>
        <v>Tree Warden's Belt</v>
      </c>
      <c r="Y23" s="47"/>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1">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19</v>
      </c>
      <c r="X24" s="714" t="str">
        <f t="shared" si="0"/>
        <v>(Unmodeled)</v>
      </c>
      <c r="Y24" s="47"/>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1">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20</v>
      </c>
      <c r="X25" s="714" t="str">
        <f t="shared" si="0"/>
        <v/>
      </c>
      <c r="Y25" s="47"/>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1">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21</v>
      </c>
      <c r="X26" s="714" t="str">
        <f t="shared" si="0"/>
        <v/>
      </c>
      <c r="Y26" s="47"/>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1">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15</v>
      </c>
      <c r="W27" s="738">
        <v>22</v>
      </c>
      <c r="X27" s="714" t="str">
        <f t="shared" si="0"/>
        <v/>
      </c>
      <c r="Y27" s="47"/>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1">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23</v>
      </c>
      <c r="X28" s="714" t="str">
        <f t="shared" si="0"/>
        <v/>
      </c>
      <c r="Y28" s="47"/>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1">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16</v>
      </c>
      <c r="W29" s="738">
        <v>24</v>
      </c>
      <c r="X29" s="714" t="str">
        <f t="shared" si="0"/>
        <v/>
      </c>
      <c r="Y29" s="47"/>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1">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25</v>
      </c>
      <c r="X30" s="714" t="str">
        <f t="shared" si="0"/>
        <v/>
      </c>
      <c r="Y30" s="47"/>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1">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26</v>
      </c>
      <c r="X31" s="714" t="str">
        <f t="shared" si="0"/>
        <v/>
      </c>
      <c r="Y31" s="47"/>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1">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18</v>
      </c>
      <c r="W32" s="738">
        <v>27</v>
      </c>
      <c r="X32" s="714" t="str">
        <f t="shared" si="0"/>
        <v/>
      </c>
      <c r="Y32" s="47"/>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1">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28</v>
      </c>
      <c r="X33" s="714" t="str">
        <f t="shared" si="0"/>
        <v/>
      </c>
      <c r="Y33" s="47"/>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1">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8">
        <v>29</v>
      </c>
      <c r="X34" s="714" t="str">
        <f t="shared" si="0"/>
        <v/>
      </c>
      <c r="Y34" s="47"/>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1">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8">
        <v>30</v>
      </c>
      <c r="X35" s="714" t="str">
        <f t="shared" si="0"/>
        <v/>
      </c>
      <c r="Y35" s="47"/>
      <c r="Z35" s="47"/>
    </row>
    <row r="36" spans="1:26">
      <c r="A36" s="130" t="s">
        <v>1408</v>
      </c>
      <c r="B36" s="114">
        <v>33583</v>
      </c>
      <c r="C36" s="114">
        <v>4</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1">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8">
        <v>31</v>
      </c>
      <c r="X36" s="714" t="str">
        <f t="shared" si="0"/>
        <v/>
      </c>
      <c r="Y36" s="47"/>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20">
        <f>'Gear &amp; Buffs'!$S$163</f>
        <v>0</v>
      </c>
      <c r="S37" s="114"/>
      <c r="T37" s="114"/>
      <c r="U37" s="891">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19</v>
      </c>
      <c r="W37" s="738">
        <v>32</v>
      </c>
      <c r="X37" s="714" t="str">
        <f t="shared" si="0"/>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70"/>
      <c r="V38" s="114"/>
      <c r="W38" s="738">
        <v>33</v>
      </c>
      <c r="X38" s="714" t="str">
        <f t="shared" si="0"/>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8">
        <v>34</v>
      </c>
      <c r="X39" s="714" t="str">
        <f t="shared" si="0"/>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5"/>
      <c r="L41" s="47"/>
      <c r="M41" s="47"/>
      <c r="N41" s="755"/>
      <c r="O41" s="755"/>
      <c r="P41" s="47"/>
      <c r="Q41" s="47"/>
      <c r="R41" s="47"/>
      <c r="S41" s="114"/>
      <c r="T41" s="755"/>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X4" sqref="X4"/>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4"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2080</v>
      </c>
    </row>
    <row r="2" spans="1:24">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1">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1">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8"/>
      <c r="X3" s="714" t="str">
        <f>" "</f>
        <v xml:space="preserve"> </v>
      </c>
    </row>
    <row r="4" spans="1:24">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1">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8">
        <v>1</v>
      </c>
      <c r="X4" s="714" t="str">
        <f>IF(ISNA(INDEX($A$2:$A$36,MATCH(W4,V$2:V$36,0))), "", INDEX($A$2:$A$36,MATCH(W4,V$2:V$36,0)))</f>
        <v>Bonescythe Legplates</v>
      </c>
    </row>
    <row r="5" spans="1:24">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1">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38" si="0">IF(ISNA(INDEX($A$2:$A$36,MATCH(W5,V$2:V$36,0))), "", INDEX($A$2:$A$36,MATCH(W5,V$2:V$36,0)))</f>
        <v>Clefthoof Hide Leggings</v>
      </c>
    </row>
    <row r="6" spans="1:24"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1">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Eco-Dome Leggings</v>
      </c>
    </row>
    <row r="7" spans="1:24"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1">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8">
        <v>4</v>
      </c>
      <c r="X7" s="714" t="str">
        <f t="shared" si="0"/>
        <v>Fel Leather Leggings</v>
      </c>
    </row>
    <row r="8" spans="1:24" s="47" customFormat="1">
      <c r="A8" s="130" t="s">
        <v>2355</v>
      </c>
      <c r="B8" s="116">
        <v>30535</v>
      </c>
      <c r="C8" s="116">
        <v>3</v>
      </c>
      <c r="D8" s="114">
        <v>33</v>
      </c>
      <c r="E8" s="114">
        <v>26</v>
      </c>
      <c r="F8" s="114"/>
      <c r="G8" s="116"/>
      <c r="H8" s="116"/>
      <c r="I8" s="116"/>
      <c r="J8" s="114"/>
      <c r="K8" s="116"/>
      <c r="L8" s="114">
        <v>24</v>
      </c>
      <c r="M8" s="116"/>
      <c r="N8" s="116"/>
      <c r="O8" s="116"/>
      <c r="P8" s="114"/>
      <c r="Q8" s="114" t="s">
        <v>2343</v>
      </c>
      <c r="R8" s="114" t="s">
        <v>1459</v>
      </c>
      <c r="S8" s="114" t="s">
        <v>691</v>
      </c>
      <c r="T8" s="116"/>
      <c r="U8" s="891">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8">
        <v>5</v>
      </c>
      <c r="X8" s="714" t="str">
        <f t="shared" si="0"/>
        <v>Gladiator's Leather Legguards</v>
      </c>
    </row>
    <row r="9" spans="1:24">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1">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Leggings of Assassination</v>
      </c>
    </row>
    <row r="10" spans="1:24">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1">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Leggings of the Unrepentant</v>
      </c>
    </row>
    <row r="11" spans="1:24">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1">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8">
        <v>8</v>
      </c>
      <c r="X11" s="714" t="str">
        <f t="shared" si="0"/>
        <v>Leggings of Unending Assault</v>
      </c>
    </row>
    <row r="12" spans="1:24">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1">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Mennu's Scaled Leggings</v>
      </c>
    </row>
    <row r="13" spans="1:24">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1">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Midnight Legguards</v>
      </c>
    </row>
    <row r="14" spans="1:24">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1">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Netherblade Breeches</v>
      </c>
    </row>
    <row r="15" spans="1:24">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1">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8">
        <v>12</v>
      </c>
      <c r="X15" s="714" t="str">
        <f t="shared" si="0"/>
        <v>Nomad's Leggings</v>
      </c>
    </row>
    <row r="16" spans="1:24">
      <c r="A16" s="10" t="s">
        <v>2821</v>
      </c>
      <c r="B16" s="116"/>
      <c r="C16" s="116">
        <v>1</v>
      </c>
      <c r="D16" s="114"/>
      <c r="E16" s="114">
        <v>30</v>
      </c>
      <c r="F16" s="114">
        <v>62</v>
      </c>
      <c r="G16" s="116"/>
      <c r="H16" s="116"/>
      <c r="I16" s="116"/>
      <c r="J16" s="114"/>
      <c r="K16" s="116"/>
      <c r="L16" s="114">
        <v>45</v>
      </c>
      <c r="M16" s="116"/>
      <c r="N16" s="116"/>
      <c r="O16" s="116"/>
      <c r="P16" s="114"/>
      <c r="Q16" s="114" t="s">
        <v>1033</v>
      </c>
      <c r="R16" s="114"/>
      <c r="S16" s="114" t="s">
        <v>675</v>
      </c>
      <c r="T16" s="116"/>
      <c r="U16" s="891">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8">
        <v>13</v>
      </c>
      <c r="X16" s="714" t="str">
        <f t="shared" si="0"/>
        <v>Oilcloth Breeches</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1">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9</v>
      </c>
      <c r="W17" s="738">
        <v>14</v>
      </c>
      <c r="X17" s="714" t="str">
        <f t="shared" si="0"/>
        <v>Opportunist's Leather Legguards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1">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8">
        <v>15</v>
      </c>
      <c r="X18" s="714" t="str">
        <f t="shared" si="0"/>
        <v>Retainer's Leggings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1">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Shattrath Leggings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1">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8">
        <v>17</v>
      </c>
      <c r="X20" s="714" t="str">
        <f t="shared" si="0"/>
        <v>Skulker's Greaves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1">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8">
        <v>18</v>
      </c>
      <c r="X21" s="714" t="str">
        <f t="shared" si="0"/>
        <v>Warpscale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1">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Wastewalker Leggings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1">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ref="X23" si="1">IF(ISNA(INDEX($A$2:$A$36,MATCH(W23,V$2:V$36,0))), "", INDEX($A$2:$A$36,MATCH(W23,V$2:V$36,0)))</f>
        <v>X-52 Pilot's Leggings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1">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8">
        <v>21</v>
      </c>
      <c r="X24" s="714" t="str">
        <f t="shared" si="0"/>
        <v>(Unmodeled)</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1">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8">
        <v>22</v>
      </c>
      <c r="X25" s="714" t="str">
        <f t="shared" si="0"/>
        <v/>
      </c>
    </row>
    <row r="26" spans="1:25">
      <c r="A26" s="130" t="s">
        <v>1433</v>
      </c>
      <c r="B26" s="116">
        <v>33538</v>
      </c>
      <c r="C26" s="116">
        <v>4</v>
      </c>
      <c r="D26" s="114"/>
      <c r="E26" s="114">
        <v>45</v>
      </c>
      <c r="F26" s="114">
        <v>92</v>
      </c>
      <c r="G26" s="116"/>
      <c r="H26" s="116"/>
      <c r="I26" s="116">
        <v>30</v>
      </c>
      <c r="J26" s="114"/>
      <c r="K26" s="116"/>
      <c r="L26" s="114">
        <v>46</v>
      </c>
      <c r="M26" s="116"/>
      <c r="N26" s="116"/>
      <c r="O26" s="116"/>
      <c r="P26" s="114"/>
      <c r="Q26" s="114" t="s">
        <v>1033</v>
      </c>
      <c r="R26" s="114"/>
      <c r="S26" s="114" t="s">
        <v>691</v>
      </c>
      <c r="T26" s="116"/>
      <c r="U26" s="891">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1">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1">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17</v>
      </c>
      <c r="W28" s="738">
        <v>25</v>
      </c>
      <c r="X28" s="714" t="str">
        <f t="shared" si="0"/>
        <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1">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1">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1">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8">
        <v>28</v>
      </c>
      <c r="X31" s="714" t="str">
        <f t="shared" si="0"/>
        <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1">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
      </c>
      <c r="Y32" s="129"/>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1">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18</v>
      </c>
      <c r="W33" s="738">
        <v>30</v>
      </c>
      <c r="X33" s="714" t="str">
        <f t="shared" si="0"/>
        <v/>
      </c>
      <c r="Y33" s="129"/>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1">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
      </c>
      <c r="Y34" s="129"/>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1">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
      </c>
      <c r="Y35" s="129"/>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20">
        <f>'Gear &amp; Buffs'!$S$164</f>
        <v>0</v>
      </c>
      <c r="S36" s="114"/>
      <c r="T36" s="755"/>
      <c r="U36" s="891">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21</v>
      </c>
      <c r="W36" s="738">
        <v>33</v>
      </c>
      <c r="X36" s="714" t="str">
        <f t="shared" si="0"/>
        <v/>
      </c>
      <c r="Y36" s="129"/>
    </row>
    <row r="37" spans="1:25">
      <c r="A37" s="695" t="s">
        <v>2207</v>
      </c>
      <c r="B37" s="696"/>
      <c r="C37" s="696"/>
      <c r="D37" s="696"/>
      <c r="E37" s="696"/>
      <c r="F37" s="696"/>
      <c r="G37" s="697"/>
      <c r="H37" s="697"/>
      <c r="I37" s="696"/>
      <c r="J37" s="696"/>
      <c r="K37" s="696"/>
      <c r="L37" s="696"/>
      <c r="M37" s="697"/>
      <c r="N37" s="697"/>
      <c r="O37" s="696"/>
      <c r="P37" s="696"/>
      <c r="Q37" s="696" t="s">
        <v>1033</v>
      </c>
      <c r="R37" s="696"/>
      <c r="S37" s="696"/>
      <c r="T37" s="773"/>
      <c r="U37" s="770"/>
      <c r="V37" s="114"/>
      <c r="W37" s="738">
        <v>34</v>
      </c>
      <c r="X37" s="714" t="str">
        <f t="shared" si="0"/>
        <v/>
      </c>
      <c r="Y37" s="129"/>
    </row>
    <row r="38" spans="1:25">
      <c r="J38" s="114"/>
      <c r="R38" s="114"/>
      <c r="U38" s="114"/>
      <c r="V38" s="114"/>
      <c r="W38" s="738">
        <v>35</v>
      </c>
      <c r="X38" s="714" t="str">
        <f t="shared" si="0"/>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40" t="s">
        <v>794</v>
      </c>
      <c r="B40" s="730" t="s">
        <v>1934</v>
      </c>
      <c r="C40" s="730" t="s">
        <v>2798</v>
      </c>
      <c r="D40" s="731" t="s">
        <v>1214</v>
      </c>
      <c r="E40" s="731" t="s">
        <v>1215</v>
      </c>
      <c r="F40" s="731" t="s">
        <v>768</v>
      </c>
      <c r="G40" s="730" t="s">
        <v>2140</v>
      </c>
      <c r="H40" s="730" t="s">
        <v>2139</v>
      </c>
      <c r="I40" s="730" t="s">
        <v>771</v>
      </c>
      <c r="J40" s="732" t="s">
        <v>770</v>
      </c>
      <c r="K40" s="730" t="s">
        <v>760</v>
      </c>
      <c r="L40" s="731" t="s">
        <v>1216</v>
      </c>
      <c r="M40" s="730" t="s">
        <v>264</v>
      </c>
      <c r="N40" s="730" t="s">
        <v>1217</v>
      </c>
      <c r="O40" s="730" t="s">
        <v>1287</v>
      </c>
      <c r="P40" s="730" t="s">
        <v>1046</v>
      </c>
      <c r="Q40" s="731" t="s">
        <v>1047</v>
      </c>
      <c r="R40" s="731" t="s">
        <v>1941</v>
      </c>
      <c r="S40" s="731" t="s">
        <v>666</v>
      </c>
      <c r="T40" s="730" t="s">
        <v>921</v>
      </c>
      <c r="U40" s="733" t="s">
        <v>265</v>
      </c>
      <c r="V40" s="744">
        <v>0</v>
      </c>
      <c r="W40" s="741"/>
      <c r="X40" s="759" t="s">
        <v>1689</v>
      </c>
    </row>
    <row r="41" spans="1:25">
      <c r="A41" s="695" t="s">
        <v>1341</v>
      </c>
      <c r="B41" s="697">
        <v>3011</v>
      </c>
      <c r="C41" s="697">
        <v>1</v>
      </c>
      <c r="D41" s="696"/>
      <c r="E41" s="696">
        <v>10</v>
      </c>
      <c r="F41" s="696"/>
      <c r="G41" s="697"/>
      <c r="H41" s="697"/>
      <c r="I41" s="697"/>
      <c r="J41" s="699"/>
      <c r="K41" s="697"/>
      <c r="L41" s="696">
        <v>30</v>
      </c>
      <c r="M41" s="697"/>
      <c r="N41" s="697"/>
      <c r="O41" s="697"/>
      <c r="P41" s="697"/>
      <c r="Q41" s="697"/>
      <c r="R41" s="697"/>
      <c r="S41" s="696" t="s">
        <v>1689</v>
      </c>
      <c r="T41" s="774" t="b">
        <v>0</v>
      </c>
      <c r="U41" s="891">
        <f>($D41*dpsStr+$E41*dpsAgi+$G41*dpsCrit+$H41*dpsHit+$F41*dpsAP+$I41*dpsHaste+$J41*dpsArmor+$K41*dpsExp)-'Gear &amp; Buffs'!$AF$58</f>
        <v>-17.823928265522227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9"/>
      <c r="X41" s="712"/>
      <c r="Y41" s="129"/>
    </row>
    <row r="42" spans="1:25">
      <c r="A42" s="677" t="s">
        <v>1414</v>
      </c>
      <c r="B42" s="679">
        <v>3010</v>
      </c>
      <c r="C42" s="679">
        <v>1</v>
      </c>
      <c r="D42" s="678"/>
      <c r="E42" s="678"/>
      <c r="F42" s="678">
        <v>40</v>
      </c>
      <c r="G42" s="679">
        <v>10</v>
      </c>
      <c r="H42" s="679"/>
      <c r="I42" s="679"/>
      <c r="J42" s="682"/>
      <c r="K42" s="679"/>
      <c r="L42" s="678"/>
      <c r="M42" s="679"/>
      <c r="N42" s="679"/>
      <c r="O42" s="679"/>
      <c r="P42" s="682"/>
      <c r="Q42" s="682"/>
      <c r="R42" s="682"/>
      <c r="S42" s="678" t="s">
        <v>1689</v>
      </c>
      <c r="T42" s="774" t="b">
        <v>0</v>
      </c>
      <c r="U42" s="891">
        <f>($D42*dpsStr+$E42*dpsAgi+$G42*dpsCrit+$H42*dpsHit+$F42*dpsAP+$I42*dpsHaste+$J42*dpsArmor+$K42*dpsExp)-'Gear &amp; Buffs'!$AF$58</f>
        <v>-4.9448928695705945</v>
      </c>
      <c r="V42" s="221">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1">
        <v>1</v>
      </c>
      <c r="X42" s="752" t="str">
        <f t="shared" ref="X42:X48" si="2">IF(ISNA(INDEX($A$41:$A$47,MATCH(W42,V$41:V$47,0))), "", INDEX($A$41:$A$47,MATCH(W42,V$41:V$47,0)))</f>
        <v>Clefthide Leg Armor (+10agi +30stam)</v>
      </c>
    </row>
    <row r="43" spans="1:25">
      <c r="A43" s="677" t="s">
        <v>795</v>
      </c>
      <c r="B43" s="679">
        <v>2585</v>
      </c>
      <c r="C43" s="679">
        <v>1</v>
      </c>
      <c r="D43" s="678"/>
      <c r="E43" s="678"/>
      <c r="F43" s="678">
        <v>28</v>
      </c>
      <c r="G43" s="679"/>
      <c r="H43" s="679"/>
      <c r="I43" s="679"/>
      <c r="J43" s="682"/>
      <c r="K43" s="679"/>
      <c r="L43" s="678"/>
      <c r="M43" s="679">
        <v>12</v>
      </c>
      <c r="N43" s="679"/>
      <c r="O43" s="679"/>
      <c r="P43" s="717"/>
      <c r="Q43" s="717"/>
      <c r="R43" s="717"/>
      <c r="S43" s="678" t="s">
        <v>668</v>
      </c>
      <c r="T43" s="774" t="b">
        <v>0</v>
      </c>
      <c r="U43" s="891">
        <f>($D43*dpsStr+$E43*dpsAgi+$G43*dpsCrit+$H43*dpsHit+$F43*dpsAP+$I43*dpsHaste+$J43*dpsArmor+$K43*dpsExp)-'Gear &amp; Buffs'!$AF$58</f>
        <v>-16.090816234927388</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1">
        <v>2</v>
      </c>
      <c r="X43" s="752" t="str">
        <f t="shared" si="2"/>
        <v>Cobrahide Leg Armor (+10crit +40ap)</v>
      </c>
    </row>
    <row r="44" spans="1:25">
      <c r="A44" s="677" t="s">
        <v>1104</v>
      </c>
      <c r="B44" s="679">
        <v>2543</v>
      </c>
      <c r="C44" s="679">
        <v>1</v>
      </c>
      <c r="D44" s="678"/>
      <c r="E44" s="678"/>
      <c r="F44" s="678"/>
      <c r="G44" s="679"/>
      <c r="H44" s="679"/>
      <c r="I44" s="679">
        <v>10</v>
      </c>
      <c r="J44" s="682"/>
      <c r="K44" s="679"/>
      <c r="L44" s="678"/>
      <c r="M44" s="679"/>
      <c r="N44" s="679"/>
      <c r="O44" s="679"/>
      <c r="P44" s="682"/>
      <c r="Q44" s="682"/>
      <c r="R44" s="682"/>
      <c r="S44" s="678" t="s">
        <v>668</v>
      </c>
      <c r="T44" s="774" t="b">
        <v>0</v>
      </c>
      <c r="U44" s="891">
        <f>($D44*dpsStr+$E44*dpsAgi+$G44*dpsCrit+$H44*dpsHit+$F44*dpsAP+$I44*dpsHaste+$J44*dpsArmor+$K44*dpsExp)-'Gear &amp; Buffs'!$AF$58</f>
        <v>10.617790431329468</v>
      </c>
      <c r="V44" s="221">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1">
        <v>3</v>
      </c>
      <c r="X44" s="752" t="str">
        <f t="shared" si="2"/>
        <v>Death's Embrace (+28ap 12 dodge)</v>
      </c>
    </row>
    <row r="45" spans="1:25">
      <c r="A45" s="677" t="s">
        <v>1105</v>
      </c>
      <c r="B45" s="678">
        <v>1508</v>
      </c>
      <c r="C45" s="678">
        <v>1</v>
      </c>
      <c r="D45" s="678"/>
      <c r="E45" s="678">
        <v>8</v>
      </c>
      <c r="F45" s="678"/>
      <c r="G45" s="679"/>
      <c r="H45" s="679"/>
      <c r="I45" s="679"/>
      <c r="J45" s="679"/>
      <c r="K45" s="679"/>
      <c r="L45" s="678"/>
      <c r="M45" s="679"/>
      <c r="N45" s="679"/>
      <c r="O45" s="679"/>
      <c r="P45" s="679"/>
      <c r="Q45" s="679"/>
      <c r="R45" s="679"/>
      <c r="S45" s="679" t="s">
        <v>668</v>
      </c>
      <c r="T45" s="774" t="b">
        <v>0</v>
      </c>
      <c r="U45" s="891">
        <f>($D45*dpsStr+$E45*dpsAgi+$G45*dpsCrit+$H45*dpsHit+$F45*dpsAP+$I45*dpsHaste+$J45*dpsArmor+$K45*dpsExp)-'Gear &amp; Buffs'!$AF$58</f>
        <v>-19.47835400419217</v>
      </c>
      <c r="V45" s="221">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1">
        <v>4</v>
      </c>
      <c r="X45" s="752" t="str">
        <f t="shared" si="2"/>
        <v>Libram of Rapidity (+10 Haste)</v>
      </c>
    </row>
    <row r="46" spans="1:25">
      <c r="A46" s="677" t="s">
        <v>1919</v>
      </c>
      <c r="B46" s="679">
        <v>3013</v>
      </c>
      <c r="C46" s="679">
        <v>1</v>
      </c>
      <c r="D46" s="678"/>
      <c r="E46" s="678">
        <v>12</v>
      </c>
      <c r="F46" s="678"/>
      <c r="G46" s="679"/>
      <c r="H46" s="679"/>
      <c r="I46" s="679"/>
      <c r="J46" s="682"/>
      <c r="K46" s="679"/>
      <c r="L46" s="678">
        <v>40</v>
      </c>
      <c r="M46" s="679"/>
      <c r="N46" s="679"/>
      <c r="O46" s="679"/>
      <c r="P46" s="775"/>
      <c r="Q46" s="775"/>
      <c r="R46" s="775"/>
      <c r="S46" s="678" t="s">
        <v>1689</v>
      </c>
      <c r="T46" s="774" t="b">
        <v>0</v>
      </c>
      <c r="U46" s="891">
        <f>($D46*dpsStr+$E46*dpsAgi+$G46*dpsCrit+$H46*dpsHit+$F46*dpsAP+$I46*dpsHaste+$J46*dpsArmor+$K46*dpsExp)-'Gear &amp; Buffs'!$AF$58</f>
        <v>-16.169502526852284</v>
      </c>
      <c r="V46" s="221">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1">
        <v>5</v>
      </c>
      <c r="X46" s="752" t="str">
        <f t="shared" si="2"/>
        <v>Libram of Voracity (+8 Agility)</v>
      </c>
    </row>
    <row r="47" spans="1:25">
      <c r="A47" s="677" t="s">
        <v>1342</v>
      </c>
      <c r="B47" s="679">
        <v>3012</v>
      </c>
      <c r="C47" s="679">
        <v>1</v>
      </c>
      <c r="D47" s="678"/>
      <c r="E47" s="678"/>
      <c r="F47" s="678">
        <v>50</v>
      </c>
      <c r="G47" s="679">
        <v>12</v>
      </c>
      <c r="H47" s="679"/>
      <c r="I47" s="679"/>
      <c r="J47" s="682"/>
      <c r="K47" s="679"/>
      <c r="L47" s="678"/>
      <c r="M47" s="679"/>
      <c r="N47" s="679"/>
      <c r="O47" s="679"/>
      <c r="P47" s="685"/>
      <c r="Q47" s="685"/>
      <c r="R47" s="685"/>
      <c r="S47" s="678" t="s">
        <v>1689</v>
      </c>
      <c r="T47" s="774" t="b">
        <v>0</v>
      </c>
      <c r="U47" s="891">
        <f>($D47*dpsStr+$E47*dpsAgi+$G47*dpsCrit+$H47*dpsHit+$F47*dpsAP+$I47*dpsHaste+$J47*dpsArmor+$K47*dpsExp)-'Gear &amp; Buffs'!$AF$58</f>
        <v>0</v>
      </c>
      <c r="V47" s="221">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1">
        <v>6</v>
      </c>
      <c r="X47" s="752" t="str">
        <f t="shared" si="2"/>
        <v>Nethercleft Leg Armor (+12agi +40stam)</v>
      </c>
    </row>
    <row r="48" spans="1:25">
      <c r="A48" s="677" t="s">
        <v>2207</v>
      </c>
      <c r="B48" s="682"/>
      <c r="C48" s="682"/>
      <c r="D48" s="682"/>
      <c r="E48" s="682"/>
      <c r="F48" s="682"/>
      <c r="G48" s="682"/>
      <c r="H48" s="682"/>
      <c r="I48" s="717"/>
      <c r="J48" s="758"/>
      <c r="K48" s="682"/>
      <c r="L48" s="682"/>
      <c r="M48" s="682"/>
      <c r="N48" s="682"/>
      <c r="O48" s="682"/>
      <c r="P48" s="679"/>
      <c r="Q48" s="679"/>
      <c r="R48" s="679"/>
      <c r="S48" s="678"/>
      <c r="T48" s="771"/>
      <c r="U48" s="772"/>
      <c r="V48" s="114"/>
      <c r="W48" s="751">
        <v>7</v>
      </c>
      <c r="X48" s="752" t="str">
        <f t="shared" si="2"/>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X129"/>
  <sheetViews>
    <sheetView workbookViewId="0">
      <selection activeCell="C20" sqref="C20"/>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4"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265</v>
      </c>
      <c r="V1" s="744">
        <v>0</v>
      </c>
      <c r="W1" s="744"/>
      <c r="X1" s="753" t="s">
        <v>2078</v>
      </c>
    </row>
    <row r="2" spans="1:24">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1">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8"/>
      <c r="X2" s="714" t="s">
        <v>1689</v>
      </c>
    </row>
    <row r="3" spans="1:24">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1">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8"/>
      <c r="X3" s="714" t="str">
        <f>" "</f>
        <v xml:space="preserve"> </v>
      </c>
    </row>
    <row r="4" spans="1:24">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1">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IF(ISNA(INDEX($A$2:$A$32,MATCH(W4,V$2:V$32,0))), "", INDEX($A$2:$A$32,MATCH(W4,V$2:V$32,0)))</f>
        <v>Bonescythe Sabatons</v>
      </c>
    </row>
    <row r="5" spans="1:24">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1">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8">
        <v>2</v>
      </c>
      <c r="X5" s="714" t="str">
        <f t="shared" ref="X5:X34" si="0">IF(ISNA(INDEX($A$2:$A$32,MATCH(W5,V$2:V$32,0))), "", INDEX($A$2:$A$32,MATCH(W5,V$2:V$32,0)))</f>
        <v>Boots of the Shifting Sands</v>
      </c>
    </row>
    <row r="6" spans="1:24">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1">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Boots of the Unjust</v>
      </c>
    </row>
    <row r="7" spans="1:24">
      <c r="A7" s="10" t="s">
        <v>695</v>
      </c>
      <c r="B7" s="116">
        <v>30039</v>
      </c>
      <c r="C7" s="116">
        <v>1</v>
      </c>
      <c r="D7" s="114"/>
      <c r="E7" s="114"/>
      <c r="F7" s="114">
        <v>66</v>
      </c>
      <c r="G7" s="116">
        <v>32</v>
      </c>
      <c r="H7" s="116">
        <v>23</v>
      </c>
      <c r="I7" s="116"/>
      <c r="J7" s="114"/>
      <c r="K7" s="116"/>
      <c r="L7" s="114">
        <v>34</v>
      </c>
      <c r="M7" s="116"/>
      <c r="N7" s="116"/>
      <c r="O7" s="116"/>
      <c r="P7" s="114"/>
      <c r="Q7" s="114" t="s">
        <v>1033</v>
      </c>
      <c r="R7" s="114"/>
      <c r="S7" s="114" t="s">
        <v>687</v>
      </c>
      <c r="T7" s="116"/>
      <c r="U7" s="891">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Edgewalker Longboots</v>
      </c>
    </row>
    <row r="8" spans="1:24">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1">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Farahlite Studded Boots</v>
      </c>
    </row>
    <row r="9" spans="1:24"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1">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8">
        <v>6</v>
      </c>
      <c r="X9" s="714" t="str">
        <f t="shared" si="0"/>
        <v>Fel Leather Boots</v>
      </c>
    </row>
    <row r="10" spans="1:24">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1">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8">
        <v>7</v>
      </c>
      <c r="X10" s="714" t="str">
        <f t="shared" si="0"/>
        <v>Felboar Hide Shoes</v>
      </c>
    </row>
    <row r="11" spans="1:24">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1">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8">
        <v>8</v>
      </c>
      <c r="X11" s="714" t="str">
        <f t="shared" si="0"/>
        <v>General's Leather Boots</v>
      </c>
    </row>
    <row r="12" spans="1:24">
      <c r="A12" s="130" t="s">
        <v>2359</v>
      </c>
      <c r="B12" s="116">
        <v>33582</v>
      </c>
      <c r="C12" s="116">
        <v>4</v>
      </c>
      <c r="D12" s="114">
        <v>29</v>
      </c>
      <c r="E12" s="114">
        <v>29</v>
      </c>
      <c r="F12" s="114"/>
      <c r="G12" s="116"/>
      <c r="H12" s="116"/>
      <c r="I12" s="116"/>
      <c r="J12" s="114"/>
      <c r="K12" s="116"/>
      <c r="L12" s="114">
        <v>28</v>
      </c>
      <c r="M12" s="116"/>
      <c r="N12" s="116"/>
      <c r="O12" s="116"/>
      <c r="P12" s="114"/>
      <c r="Q12" s="114" t="s">
        <v>1045</v>
      </c>
      <c r="R12" s="114" t="s">
        <v>1338</v>
      </c>
      <c r="S12" s="114" t="s">
        <v>691</v>
      </c>
      <c r="T12" s="116"/>
      <c r="U12" s="891">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8">
        <v>9</v>
      </c>
      <c r="X12" s="714" t="str">
        <f t="shared" si="0"/>
        <v>Glider's Boots of the Bandit</v>
      </c>
    </row>
    <row r="13" spans="1:24">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1">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8">
        <v>10</v>
      </c>
      <c r="X13" s="714" t="str">
        <f t="shared" si="0"/>
        <v>Marshal's Leather Boots</v>
      </c>
    </row>
    <row r="14" spans="1:24">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1">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8">
        <v>11</v>
      </c>
      <c r="X14" s="714" t="str">
        <f t="shared" si="0"/>
        <v>Nimble-foot Treads</v>
      </c>
    </row>
    <row r="15" spans="1:24">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1">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Rapscallion Boots</v>
      </c>
    </row>
    <row r="16" spans="1:24">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1">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8">
        <v>13</v>
      </c>
      <c r="X16" s="714" t="str">
        <f t="shared" si="0"/>
        <v>Shadowstep Striders</v>
      </c>
    </row>
    <row r="17" spans="1:24"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1">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8">
        <v>14</v>
      </c>
      <c r="X17" s="714" t="str">
        <f t="shared" si="0"/>
        <v>Silent-Strider Kneeboots</v>
      </c>
    </row>
    <row r="18" spans="1:24"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1">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8">
        <v>15</v>
      </c>
      <c r="X18" s="714" t="str">
        <f t="shared" si="0"/>
        <v>Spymistress's Boots</v>
      </c>
    </row>
    <row r="19" spans="1:24">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1">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8">
        <v>16</v>
      </c>
      <c r="X19" s="714" t="str">
        <f t="shared" si="0"/>
        <v>The Master's Treads</v>
      </c>
    </row>
    <row r="20" spans="1:24">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1">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8">
        <v>17</v>
      </c>
      <c r="X20" s="714" t="str">
        <f t="shared" si="0"/>
        <v>Wrangler's Boots</v>
      </c>
    </row>
    <row r="21" spans="1:24">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1">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8">
        <v>18</v>
      </c>
      <c r="X21" s="714" t="str">
        <f t="shared" si="0"/>
        <v>(Unmodeled)</v>
      </c>
    </row>
    <row r="22" spans="1:24">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1">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8">
        <v>19</v>
      </c>
      <c r="X22" s="714" t="str">
        <f t="shared" si="0"/>
        <v/>
      </c>
    </row>
    <row r="23" spans="1:24">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1">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8">
        <v>20</v>
      </c>
      <c r="X23" s="714" t="str">
        <f t="shared" si="0"/>
        <v/>
      </c>
    </row>
    <row r="24" spans="1:24">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1">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8">
        <v>21</v>
      </c>
      <c r="X24" s="714" t="str">
        <f t="shared" si="0"/>
        <v/>
      </c>
    </row>
    <row r="25" spans="1:24">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1">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8">
        <v>22</v>
      </c>
      <c r="X25" s="714" t="str">
        <f t="shared" si="0"/>
        <v/>
      </c>
    </row>
    <row r="26" spans="1:24">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1">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8">
        <v>23</v>
      </c>
      <c r="X26" s="714" t="str">
        <f t="shared" si="0"/>
        <v/>
      </c>
    </row>
    <row r="27" spans="1:24">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1">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8">
        <v>24</v>
      </c>
      <c r="X27" s="714" t="str">
        <f t="shared" si="0"/>
        <v/>
      </c>
    </row>
    <row r="28" spans="1:24">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1">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8">
        <v>25</v>
      </c>
      <c r="X28" s="714" t="str">
        <f t="shared" si="0"/>
        <v/>
      </c>
    </row>
    <row r="29" spans="1:24">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1">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8">
        <v>26</v>
      </c>
      <c r="X29" s="714" t="str">
        <f t="shared" si="0"/>
        <v/>
      </c>
    </row>
    <row r="30" spans="1:24">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1">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
      </c>
    </row>
    <row r="31" spans="1:24">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1">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8">
        <v>28</v>
      </c>
      <c r="X31" s="714" t="str">
        <f t="shared" si="0"/>
        <v/>
      </c>
    </row>
    <row r="32" spans="1:24">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20">
        <f>'Gear &amp; Buffs'!$S$165</f>
        <v>0</v>
      </c>
      <c r="S32" s="114"/>
      <c r="T32" s="755"/>
      <c r="U32" s="891">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8">
        <v>29</v>
      </c>
      <c r="X32" s="714" t="str">
        <f t="shared" si="0"/>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70"/>
      <c r="V33" s="114"/>
      <c r="W33" s="738">
        <v>30</v>
      </c>
      <c r="X33" s="714" t="str">
        <f t="shared" si="0"/>
        <v/>
      </c>
    </row>
    <row r="34" spans="1:24">
      <c r="A34" s="47"/>
      <c r="B34" s="47"/>
      <c r="C34" s="114"/>
      <c r="D34" s="47"/>
      <c r="E34" s="47"/>
      <c r="F34" s="47"/>
      <c r="G34" s="47"/>
      <c r="H34" s="47"/>
      <c r="I34" s="47"/>
      <c r="J34" s="114"/>
      <c r="K34" s="755"/>
      <c r="L34" s="47"/>
      <c r="M34" s="47"/>
      <c r="N34" s="755"/>
      <c r="O34" s="755"/>
      <c r="P34" s="47"/>
      <c r="Q34" s="47"/>
      <c r="R34" s="114"/>
      <c r="S34" s="114"/>
      <c r="T34" s="755"/>
      <c r="U34" s="114"/>
      <c r="V34" s="114"/>
      <c r="W34" s="738">
        <v>31</v>
      </c>
      <c r="X34" s="714" t="str">
        <f t="shared" si="0"/>
        <v/>
      </c>
    </row>
    <row r="35" spans="1:24">
      <c r="A35" s="47"/>
      <c r="B35" s="47"/>
      <c r="C35" s="114"/>
      <c r="D35" s="47"/>
      <c r="E35" s="47"/>
      <c r="F35" s="47"/>
      <c r="G35" s="47"/>
      <c r="H35" s="47"/>
      <c r="I35" s="47"/>
      <c r="J35" s="114"/>
      <c r="K35" s="755"/>
      <c r="L35" s="47"/>
      <c r="M35" s="47"/>
      <c r="N35" s="755"/>
      <c r="O35" s="755"/>
      <c r="P35" s="47"/>
      <c r="Q35" s="47"/>
      <c r="R35" s="114"/>
      <c r="S35" s="114"/>
      <c r="T35" s="755"/>
      <c r="U35" s="114"/>
      <c r="V35" s="114"/>
      <c r="W35" s="114"/>
      <c r="X35" s="10"/>
    </row>
    <row r="36" spans="1:24" ht="23.25" thickBot="1">
      <c r="A36" s="740" t="s">
        <v>718</v>
      </c>
      <c r="B36" s="730" t="s">
        <v>1934</v>
      </c>
      <c r="C36" s="730" t="s">
        <v>2798</v>
      </c>
      <c r="D36" s="731" t="s">
        <v>1214</v>
      </c>
      <c r="E36" s="731" t="s">
        <v>1215</v>
      </c>
      <c r="F36" s="731" t="s">
        <v>768</v>
      </c>
      <c r="G36" s="730" t="s">
        <v>2140</v>
      </c>
      <c r="H36" s="730" t="s">
        <v>2139</v>
      </c>
      <c r="I36" s="730" t="s">
        <v>771</v>
      </c>
      <c r="J36" s="732" t="s">
        <v>770</v>
      </c>
      <c r="K36" s="730" t="s">
        <v>760</v>
      </c>
      <c r="L36" s="731" t="s">
        <v>1216</v>
      </c>
      <c r="M36" s="730" t="s">
        <v>264</v>
      </c>
      <c r="N36" s="730" t="s">
        <v>1217</v>
      </c>
      <c r="O36" s="730" t="s">
        <v>1287</v>
      </c>
      <c r="P36" s="730" t="s">
        <v>1046</v>
      </c>
      <c r="Q36" s="731" t="s">
        <v>1047</v>
      </c>
      <c r="R36" s="731" t="s">
        <v>1941</v>
      </c>
      <c r="S36" s="731" t="s">
        <v>666</v>
      </c>
      <c r="T36" s="730" t="s">
        <v>921</v>
      </c>
      <c r="U36" s="733" t="s">
        <v>265</v>
      </c>
      <c r="V36" s="744">
        <v>0</v>
      </c>
      <c r="W36" s="741"/>
      <c r="X36" s="735" t="s">
        <v>1689</v>
      </c>
    </row>
    <row r="37" spans="1:24">
      <c r="A37" s="695" t="s">
        <v>721</v>
      </c>
      <c r="B37" s="699">
        <v>2940</v>
      </c>
      <c r="C37" s="696">
        <v>1</v>
      </c>
      <c r="D37" s="696"/>
      <c r="E37" s="696"/>
      <c r="F37" s="696"/>
      <c r="G37" s="697"/>
      <c r="H37" s="697"/>
      <c r="I37" s="699"/>
      <c r="J37" s="696"/>
      <c r="K37" s="715"/>
      <c r="L37" s="696">
        <v>9</v>
      </c>
      <c r="M37" s="697"/>
      <c r="N37" s="715"/>
      <c r="O37" s="715"/>
      <c r="P37" s="699"/>
      <c r="Q37" s="699"/>
      <c r="R37" s="696"/>
      <c r="S37" s="696" t="s">
        <v>1689</v>
      </c>
      <c r="T37" s="715" t="b">
        <v>1</v>
      </c>
      <c r="U37" s="891">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9"/>
      <c r="X37" s="737"/>
    </row>
    <row r="38" spans="1:24">
      <c r="A38" s="683" t="s">
        <v>720</v>
      </c>
      <c r="B38" s="682">
        <v>2939</v>
      </c>
      <c r="C38" s="678">
        <v>5</v>
      </c>
      <c r="D38" s="678"/>
      <c r="E38" s="678">
        <v>6</v>
      </c>
      <c r="F38" s="678"/>
      <c r="G38" s="679"/>
      <c r="H38" s="679"/>
      <c r="I38" s="682"/>
      <c r="J38" s="678"/>
      <c r="K38" s="717"/>
      <c r="L38" s="678"/>
      <c r="M38" s="679"/>
      <c r="N38" s="717"/>
      <c r="O38" s="717"/>
      <c r="P38" s="682"/>
      <c r="Q38" s="682"/>
      <c r="R38" s="682"/>
      <c r="S38" s="678" t="s">
        <v>1689</v>
      </c>
      <c r="T38" s="717" t="b">
        <v>0</v>
      </c>
      <c r="U38" s="891">
        <f>($D38*dpsStr+$E38*dpsAgi+$G38*dpsCrit+$H38*dpsHit+$F38*dpsAP+$I38*dpsHaste+$J38*dpsArmor+$K38*dpsExp)-'Gear &amp; Buffs'!$AF$63</f>
        <v>-4.9632772160098284</v>
      </c>
      <c r="V38" s="221"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8">
        <v>1</v>
      </c>
      <c r="X38" s="752" t="str">
        <f t="shared" ref="X38:X44" si="1">IF(ISNA(INDEX($A$37:$A$43,MATCH(W38,V$37:V$43,0))), "", INDEX($A$37:$A$43,MATCH(W38,V$37:V$43,0)))</f>
        <v>Dexterity (+12 Agility)</v>
      </c>
    </row>
    <row r="39" spans="1:24">
      <c r="A39" s="677" t="s">
        <v>257</v>
      </c>
      <c r="B39" s="682">
        <v>2657</v>
      </c>
      <c r="C39" s="678">
        <v>1</v>
      </c>
      <c r="D39" s="678"/>
      <c r="E39" s="678">
        <v>12</v>
      </c>
      <c r="F39" s="678"/>
      <c r="G39" s="679"/>
      <c r="H39" s="679"/>
      <c r="I39" s="682"/>
      <c r="J39" s="678"/>
      <c r="K39" s="717"/>
      <c r="L39" s="678"/>
      <c r="M39" s="679"/>
      <c r="N39" s="717"/>
      <c r="O39" s="717"/>
      <c r="P39" s="682"/>
      <c r="Q39" s="682"/>
      <c r="R39" s="682"/>
      <c r="S39" s="678" t="s">
        <v>1689</v>
      </c>
      <c r="T39" s="717" t="b">
        <v>0</v>
      </c>
      <c r="U39" s="891">
        <f>($D39*dpsStr+$E39*dpsAgi+$G39*dpsCrit+$H39*dpsHit+$F39*dpsAP+$I39*dpsHaste+$J39*dpsArmor+$K39*dpsExp)-'Gear &amp; Buffs'!$AF$63</f>
        <v>0</v>
      </c>
      <c r="V39" s="221">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8">
        <v>2</v>
      </c>
      <c r="X39" s="752" t="str">
        <f t="shared" si="1"/>
        <v>Greater Agility (+7 Agility)</v>
      </c>
    </row>
    <row r="40" spans="1:24">
      <c r="A40" s="677" t="s">
        <v>1308</v>
      </c>
      <c r="B40" s="682">
        <v>2649</v>
      </c>
      <c r="C40" s="678">
        <v>1</v>
      </c>
      <c r="D40" s="678"/>
      <c r="E40" s="678"/>
      <c r="F40" s="678"/>
      <c r="G40" s="679"/>
      <c r="H40" s="679"/>
      <c r="I40" s="682"/>
      <c r="J40" s="678"/>
      <c r="K40" s="717"/>
      <c r="L40" s="678">
        <v>12</v>
      </c>
      <c r="M40" s="679"/>
      <c r="N40" s="717"/>
      <c r="O40" s="717"/>
      <c r="P40" s="682"/>
      <c r="Q40" s="682"/>
      <c r="R40" s="682"/>
      <c r="S40" s="678" t="s">
        <v>1689</v>
      </c>
      <c r="T40" s="717" t="b">
        <v>1</v>
      </c>
      <c r="U40" s="891">
        <f>($D40*dpsStr+$E40*dpsAgi+$G40*dpsCrit+$H40*dpsHit+$F40*dpsAP+$I40*dpsHaste+$J40*dpsArmor+$K40*dpsExp)-'Gear &amp; Buffs'!$AF$63</f>
        <v>-9.9265544320196568</v>
      </c>
      <c r="V40" s="221"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8">
        <v>3</v>
      </c>
      <c r="X40" s="752" t="str">
        <f t="shared" si="1"/>
        <v>Surefooted (+10 Hit + 5% Snare Resist)</v>
      </c>
    </row>
    <row r="41" spans="1:24">
      <c r="A41" s="677" t="s">
        <v>19</v>
      </c>
      <c r="B41" s="679">
        <v>1887</v>
      </c>
      <c r="C41" s="679">
        <v>1</v>
      </c>
      <c r="D41" s="678"/>
      <c r="E41" s="678">
        <v>7</v>
      </c>
      <c r="F41" s="678"/>
      <c r="G41" s="679"/>
      <c r="H41" s="679"/>
      <c r="I41" s="679"/>
      <c r="J41" s="678"/>
      <c r="K41" s="679"/>
      <c r="L41" s="678"/>
      <c r="M41" s="679"/>
      <c r="N41" s="679"/>
      <c r="O41" s="679"/>
      <c r="P41" s="678"/>
      <c r="Q41" s="678"/>
      <c r="R41" s="678"/>
      <c r="S41" s="678" t="s">
        <v>668</v>
      </c>
      <c r="T41" s="679" t="b">
        <v>0</v>
      </c>
      <c r="U41" s="891">
        <f>($D41*dpsStr+$E41*dpsAgi+$G41*dpsCrit+$H41*dpsHit+$F41*dpsAP+$I41*dpsHaste+$J41*dpsArmor+$K41*dpsExp)-'Gear &amp; Buffs'!$AF$63</f>
        <v>-4.136064346674857</v>
      </c>
      <c r="V41" s="221">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8">
        <v>4</v>
      </c>
      <c r="X41" s="752" t="str">
        <f t="shared" si="1"/>
        <v/>
      </c>
    </row>
    <row r="42" spans="1:24">
      <c r="A42" s="677" t="s">
        <v>719</v>
      </c>
      <c r="B42" s="682">
        <v>911</v>
      </c>
      <c r="C42" s="678">
        <v>1</v>
      </c>
      <c r="D42" s="678"/>
      <c r="E42" s="678"/>
      <c r="F42" s="678"/>
      <c r="G42" s="679"/>
      <c r="H42" s="679"/>
      <c r="I42" s="682"/>
      <c r="J42" s="678"/>
      <c r="K42" s="717"/>
      <c r="L42" s="678"/>
      <c r="M42" s="679"/>
      <c r="N42" s="717"/>
      <c r="O42" s="717"/>
      <c r="P42" s="682"/>
      <c r="Q42" s="682"/>
      <c r="R42" s="682"/>
      <c r="S42" s="678" t="s">
        <v>668</v>
      </c>
      <c r="T42" s="717" t="b">
        <v>1</v>
      </c>
      <c r="U42" s="891">
        <f>($D42*dpsStr+$E42*dpsAgi+$G42*dpsCrit+$H42*dpsHit+$F42*dpsAP+$I42*dpsHaste+$J42*dpsArmor+$K42*dpsExp)-'Gear &amp; Buffs'!$AF$63</f>
        <v>-9.9265544320196568</v>
      </c>
      <c r="V42" s="221"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8">
        <v>5</v>
      </c>
      <c r="X42" s="752" t="str">
        <f t="shared" si="1"/>
        <v/>
      </c>
    </row>
    <row r="43" spans="1:24">
      <c r="A43" s="677" t="s">
        <v>722</v>
      </c>
      <c r="B43" s="682">
        <v>2658</v>
      </c>
      <c r="C43" s="678">
        <v>1</v>
      </c>
      <c r="D43" s="678"/>
      <c r="E43" s="678"/>
      <c r="F43" s="678"/>
      <c r="G43" s="679"/>
      <c r="H43" s="679">
        <v>10</v>
      </c>
      <c r="I43" s="682"/>
      <c r="J43" s="678"/>
      <c r="K43" s="717"/>
      <c r="L43" s="678"/>
      <c r="M43" s="679"/>
      <c r="N43" s="717"/>
      <c r="O43" s="717"/>
      <c r="P43" s="682"/>
      <c r="Q43" s="682"/>
      <c r="R43" s="678"/>
      <c r="S43" s="678" t="s">
        <v>1689</v>
      </c>
      <c r="T43" s="717" t="b">
        <v>0</v>
      </c>
      <c r="U43" s="891">
        <f>($D43*dpsStr+$E43*dpsAgi+$G43*dpsCrit+$H43*dpsHit+$F43*dpsAP+$I43*dpsHaste+$J43*dpsArmor+$K43*dpsExp)-'Gear &amp; Buffs'!$AF$63</f>
        <v>45.573760239251897</v>
      </c>
      <c r="V43" s="221">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8">
        <v>6</v>
      </c>
      <c r="X43" s="752" t="str">
        <f t="shared" si="1"/>
        <v/>
      </c>
    </row>
    <row r="44" spans="1:24">
      <c r="A44" s="677" t="s">
        <v>2207</v>
      </c>
      <c r="B44" s="682"/>
      <c r="C44" s="678"/>
      <c r="D44" s="678"/>
      <c r="E44" s="678"/>
      <c r="F44" s="678"/>
      <c r="G44" s="679"/>
      <c r="H44" s="679"/>
      <c r="I44" s="682"/>
      <c r="J44" s="678"/>
      <c r="K44" s="717"/>
      <c r="L44" s="678"/>
      <c r="M44" s="679"/>
      <c r="N44" s="717"/>
      <c r="O44" s="717"/>
      <c r="P44" s="682"/>
      <c r="Q44" s="682"/>
      <c r="R44" s="678"/>
      <c r="S44" s="678"/>
      <c r="T44" s="717"/>
      <c r="U44" s="711"/>
      <c r="V44" s="681"/>
      <c r="W44" s="738">
        <v>7</v>
      </c>
      <c r="X44" s="752" t="str">
        <f t="shared" si="1"/>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31" workbookViewId="0">
      <selection activeCell="Y4" sqref="Y4"/>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3" t="s">
        <v>164</v>
      </c>
      <c r="B1" s="753" t="s">
        <v>1934</v>
      </c>
      <c r="C1" s="753" t="s">
        <v>2798</v>
      </c>
      <c r="D1" s="753" t="s">
        <v>1214</v>
      </c>
      <c r="E1" s="753" t="s">
        <v>1215</v>
      </c>
      <c r="F1" s="753" t="s">
        <v>768</v>
      </c>
      <c r="G1" s="754" t="s">
        <v>2140</v>
      </c>
      <c r="H1" s="754" t="s">
        <v>2139</v>
      </c>
      <c r="I1" s="753" t="s">
        <v>771</v>
      </c>
      <c r="J1" s="753" t="s">
        <v>1219</v>
      </c>
      <c r="K1" s="754" t="s">
        <v>760</v>
      </c>
      <c r="L1" s="753" t="s">
        <v>1216</v>
      </c>
      <c r="M1" s="754" t="s">
        <v>264</v>
      </c>
      <c r="N1" s="754" t="s">
        <v>1217</v>
      </c>
      <c r="O1" s="754" t="s">
        <v>1287</v>
      </c>
      <c r="P1" s="730" t="s">
        <v>1046</v>
      </c>
      <c r="Q1" s="731" t="s">
        <v>1047</v>
      </c>
      <c r="R1" s="731" t="s">
        <v>1941</v>
      </c>
      <c r="S1" s="731" t="s">
        <v>666</v>
      </c>
      <c r="T1" s="730"/>
      <c r="U1" s="733" t="s">
        <v>714</v>
      </c>
      <c r="V1" s="733" t="s">
        <v>1029</v>
      </c>
      <c r="W1" s="744">
        <v>0</v>
      </c>
      <c r="X1" s="744"/>
      <c r="Y1" s="753"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1">
        <f>($D2*dpsStr+$E2*dpsAgi+$G2*dpsCrit+$H2*dpsHit+$F2*dpsAP+$I2*dpsHaste+$J2*dpsArmor+$K2*dpsExp)-'Gear &amp; Buffs'!$AF$66</f>
        <v>-106.10379109503901</v>
      </c>
      <c r="V2" s="891">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8"/>
      <c r="Y2" s="714" t="s">
        <v>1689</v>
      </c>
      <c r="Z2" s="47"/>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1">
        <f>($D3*dpsStr+$E3*dpsAgi+$G3*dpsCrit+$H3*dpsHit+$F3*dpsAP+$I3*dpsHaste+$J3*dpsArmor+$K3*dpsExp)-'Gear &amp; Buffs'!$AF$66</f>
        <v>-102.27401134889578</v>
      </c>
      <c r="V3" s="891">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8"/>
      <c r="Y3" s="714" t="str">
        <f>" "</f>
        <v xml:space="preserve"> </v>
      </c>
      <c r="Z3" s="47"/>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1">
        <f>($D4*dpsStr+$E4*dpsAgi+$G4*dpsCrit+$H4*dpsHit+$F4*dpsAP+$I4*dpsHaste+$J4*dpsArmor+$K4*dpsExp)-'Gear &amp; Buffs'!$AF$66</f>
        <v>-70.537226350472565</v>
      </c>
      <c r="V4" s="891">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8">
        <v>1</v>
      </c>
      <c r="Y4" s="714" t="str">
        <f t="shared" ref="Y4:Y58" si="0">IF(ISNA(INDEX($A$2:$A$57,MATCH(X4,W$2:W$57,0))), "", INDEX($A$2:$A$57,MATCH(X4,W$2:W$57,0)))</f>
        <v>A'dal's Command</v>
      </c>
      <c r="Z4" s="47"/>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1">
        <f>($D5*dpsStr+$E5*dpsAgi+$G5*dpsCrit+$H5*dpsHit+$F5*dpsAP+$I5*dpsHaste+$J5*dpsArmor+$K5*dpsExp)-'Gear &amp; Buffs'!$AF$66</f>
        <v>-98.960800721329178</v>
      </c>
      <c r="V5" s="891">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8">
        <v>2</v>
      </c>
      <c r="Y5" s="714" t="str">
        <f t="shared" si="0"/>
        <v>Aggressor's Mark of the Sha'tar</v>
      </c>
      <c r="Z5" s="47"/>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1">
        <f>($D6*dpsStr+$E6*dpsAgi+$G6*dpsCrit+$H6*dpsHit+$F6*dpsAP+$I6*dpsHaste+$J6*dpsArmor+$K6*dpsExp)-'Gear &amp; Buffs'!$AF$66</f>
        <v>-4.093560640949363</v>
      </c>
      <c r="V6" s="891">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8">
        <v>3</v>
      </c>
      <c r="Y6" s="714" t="str">
        <f t="shared" si="0"/>
        <v>Averinn's Ring of Slaying</v>
      </c>
      <c r="Z6" s="47"/>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1">
        <f>($D7*dpsStr+$E7*dpsAgi+$G7*dpsCrit+$H7*dpsHit+$F7*dpsAP+$I7*dpsHaste+$J7*dpsArmor+$K7*dpsExp)-'Gear &amp; Buffs'!$AF$66</f>
        <v>-46.617441563810416</v>
      </c>
      <c r="V7" s="891">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8">
        <v>4</v>
      </c>
      <c r="Y7" s="714" t="str">
        <f t="shared" si="0"/>
        <v>Band of Accuria</v>
      </c>
      <c r="Z7" s="47"/>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1">
        <f>($D8*dpsStr+$E8*dpsAgi+$G8*dpsCrit+$H8*dpsHit+$F8*dpsAP+$I8*dpsHaste+$J8*dpsArmor+$K8*dpsExp)-'Gear &amp; Buffs'!$AF$66</f>
        <v>6.6586837868703697</v>
      </c>
      <c r="V8" s="891">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8">
        <v>5</v>
      </c>
      <c r="Y8" s="714" t="str">
        <f t="shared" si="0"/>
        <v>Band of Anguish</v>
      </c>
      <c r="Z8" s="47"/>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1">
        <f>($D9*dpsStr+$E9*dpsAgi+$G9*dpsCrit+$H9*dpsHit+$F9*dpsAP+$I9*dpsHaste+$J9*dpsArmor+$K9*dpsExp)-'Gear &amp; Buffs'!$AF$66</f>
        <v>-92.191201803062313</v>
      </c>
      <c r="V9" s="891">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8">
        <v>6</v>
      </c>
      <c r="Y9" s="714" t="str">
        <f t="shared" si="0"/>
        <v>Band of Reanimation</v>
      </c>
      <c r="Z9" s="47"/>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1">
        <f>($D10*dpsStr+$E10*dpsAgi+$G10*dpsCrit+$H10*dpsHit+$F10*dpsAP+$I10*dpsHaste+$J10*dpsArmor+$K10*dpsExp)-'Gear &amp; Buffs'!$AF$66</f>
        <v>-88.392795909261395</v>
      </c>
      <c r="V10" s="891">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8">
        <v>7</v>
      </c>
      <c r="Y10" s="714" t="str">
        <f t="shared" si="0"/>
        <v>Band of the Exorcist</v>
      </c>
      <c r="Z10" s="47"/>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1">
        <f>($D11*dpsStr+$E11*dpsAgi+$G11*dpsCrit+$H11*dpsHit+$F11*dpsAP+$I11*dpsHaste+$J11*dpsArmor+$K11*dpsExp)-'Gear &amp; Buffs'!$AF$66</f>
        <v>-85.309050067170801</v>
      </c>
      <c r="V11" s="891">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8">
        <v>8</v>
      </c>
      <c r="Y11" s="714" t="str">
        <f t="shared" si="0"/>
        <v>Band of Triumph</v>
      </c>
      <c r="Z11" s="47"/>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1">
        <f>($D12*dpsStr+$E12*dpsAgi+$G12*dpsCrit+$H12*dpsHit+$F12*dpsAP+$I12*dpsHaste+$J12*dpsArmor+$K12*dpsExp)-'Gear &amp; Buffs'!$AF$66</f>
        <v>-96.102160514487878</v>
      </c>
      <c r="V12" s="891">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8">
        <v>9</v>
      </c>
      <c r="Y12" s="714" t="str">
        <f t="shared" si="0"/>
        <v>Band of Unnatural Forces</v>
      </c>
      <c r="Z12" s="47"/>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1">
        <f>($D13*dpsStr+$E13*dpsAgi+$G13*dpsCrit+$H13*dpsHit+$F13*dpsAP+$I13*dpsHaste+$J13*dpsArmor+$K13*dpsExp)-'Gear &amp; Buffs'!$AF$66</f>
        <v>-65.420476531261784</v>
      </c>
      <c r="V13" s="891">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8">
        <v>10</v>
      </c>
      <c r="Y13" s="714" t="str">
        <f t="shared" si="0"/>
        <v>Bonescythe Ring</v>
      </c>
      <c r="Z13" s="47"/>
      <c r="AA13" s="47"/>
    </row>
    <row r="14" spans="1:27">
      <c r="A14" s="10" t="s">
        <v>1921</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676</v>
      </c>
      <c r="T14" s="116"/>
      <c r="U14" s="891">
        <f>($D14*dpsStr+$E14*dpsAgi+$G14*dpsCrit+$H14*dpsHit+$F14*dpsAP+$I14*dpsHaste+$J14*dpsArmor+$K14*dpsExp)-'Gear &amp; Buffs'!$AF$66</f>
        <v>-77.391299250401289</v>
      </c>
      <c r="V14" s="891">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8">
        <v>11</v>
      </c>
      <c r="Y14" s="714" t="str">
        <f t="shared" si="0"/>
        <v>Kaylaan's Signet</v>
      </c>
      <c r="Z14" s="47"/>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1">
        <f>($D15*dpsStr+$E15*dpsAgi+$G15*dpsCrit+$H15*dpsHit+$F15*dpsAP+$I15*dpsHaste+$J15*dpsArmor+$K15*dpsExp)-'Gear &amp; Buffs'!$AF$66</f>
        <v>-52.115748390695899</v>
      </c>
      <c r="V15" s="891">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8">
        <v>12</v>
      </c>
      <c r="Y15" s="714" t="str">
        <f t="shared" si="0"/>
        <v>Leafbeard Ring</v>
      </c>
      <c r="Z15" s="47"/>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1">
        <f>($D16*dpsStr+$E16*dpsAgi+$G16*dpsCrit+$H16*dpsHit+$F16*dpsAP+$I16*dpsHaste+$J16*dpsArmor+$K16*dpsExp)-'Gear &amp; Buffs'!$AF$66</f>
        <v>8.375319581248732</v>
      </c>
      <c r="V16" s="891">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8">
        <v>13</v>
      </c>
      <c r="Y16" s="714" t="str">
        <f t="shared" si="0"/>
        <v>Longstrider's Loop</v>
      </c>
      <c r="Z16" s="47"/>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1">
        <f>($D17*dpsStr+$E17*dpsAgi+$G17*dpsCrit+$H17*dpsHit+$F17*dpsAP+$I17*dpsHaste+$J17*dpsArmor+$K17*dpsExp)-'Gear &amp; Buffs'!$AF$66</f>
        <v>-108.33072311367778</v>
      </c>
      <c r="V17" s="891">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8">
        <v>14</v>
      </c>
      <c r="Y17" s="714" t="str">
        <f t="shared" ref="Y17" si="1">IF(ISNA(INDEX($A$2:$A$57,MATCH(X17,W$2:W$57,0))), "", INDEX($A$2:$A$57,MATCH(X17,W$2:W$57,0)))</f>
        <v>Mithril Band of the Unscarred</v>
      </c>
      <c r="Z17" s="47"/>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1">
        <f>($D18*dpsStr+$E18*dpsAgi+$G18*dpsCrit+$H18*dpsHit+$F18*dpsAP+$I18*dpsHaste+$J18*dpsArmor+$K18*dpsExp)-'Gear &amp; Buffs'!$AF$66</f>
        <v>-47.05540053632194</v>
      </c>
      <c r="V18" s="891">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8">
        <v>15</v>
      </c>
      <c r="Y18" s="714" t="str">
        <f t="shared" si="0"/>
        <v>Naliko's Revenge</v>
      </c>
      <c r="Z18" s="47"/>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1">
        <f>($D19*dpsStr+$E19*dpsAgi+$G19*dpsCrit+$H19*dpsHit+$F19*dpsAP+$I19*dpsHaste+$J19*dpsArmor+$K19*dpsExp)-'Gear &amp; Buffs'!$AF$66</f>
        <v>-50.832192202398801</v>
      </c>
      <c r="V19" s="891">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8">
        <v>16</v>
      </c>
      <c r="Y19" s="714" t="str">
        <f t="shared" si="0"/>
        <v>Overseer's Signet</v>
      </c>
      <c r="Z19" s="47"/>
      <c r="AA19" s="47"/>
    </row>
    <row r="20" spans="1:27">
      <c r="A20" s="130" t="s">
        <v>2831</v>
      </c>
      <c r="B20" s="114">
        <v>32081</v>
      </c>
      <c r="C20" s="114">
        <v>3</v>
      </c>
      <c r="D20" s="114"/>
      <c r="E20" s="114"/>
      <c r="F20" s="114">
        <v>60</v>
      </c>
      <c r="G20" s="116"/>
      <c r="H20" s="116"/>
      <c r="I20" s="114"/>
      <c r="J20" s="114"/>
      <c r="K20" s="114"/>
      <c r="L20" s="114">
        <v>31</v>
      </c>
      <c r="M20" s="116"/>
      <c r="N20" s="116"/>
      <c r="O20" s="114"/>
      <c r="P20" s="114"/>
      <c r="Q20" s="114"/>
      <c r="R20" s="114"/>
      <c r="S20" s="114" t="s">
        <v>691</v>
      </c>
      <c r="T20" s="114"/>
      <c r="U20" s="891">
        <f>($D20*dpsStr+$E20*dpsAgi+$G20*dpsCrit+$H20*dpsHit+$F20*dpsAP+$I20*dpsHaste+$J20*dpsArmor+$K20*dpsExp)-'Gear &amp; Buffs'!$AF$66</f>
        <v>-109.29822327788497</v>
      </c>
      <c r="V20" s="891">
        <f>($D20*dpsStr+$E20*dpsAgi+$G20*dpsCrit+$H20*dpsHit+$F20*dpsAP+$I20*dpsHaste+$J20*dpsArmor+$K20*dpsExp)-'Gear &amp; Buffs'!$AF$68</f>
        <v>-115.50663248845149</v>
      </c>
      <c r="W20" s="114" t="str">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
      </c>
      <c r="X20" s="738">
        <v>17</v>
      </c>
      <c r="Y20" s="714" t="str">
        <f t="shared" si="0"/>
        <v>Pathfinder's Band</v>
      </c>
      <c r="Z20" s="47"/>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1">
        <f>($D21*dpsStr+$E21*dpsAgi+$G21*dpsCrit+$H21*dpsHit+$F21*dpsAP+$I21*dpsHaste+$J21*dpsArmor+$K21*dpsExp)-'Gear &amp; Buffs'!$AF$66</f>
        <v>0</v>
      </c>
      <c r="V21" s="891">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8">
        <v>18</v>
      </c>
      <c r="Y21" s="714" t="str">
        <f t="shared" si="0"/>
        <v>Ravenclaw Band</v>
      </c>
      <c r="Z21" s="47"/>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1">
        <f>($D22*dpsStr+$E22*dpsAgi+$G22*dpsCrit+$H22*dpsHit+$F22*dpsAP+$I22*dpsHaste+$J22*dpsArmor+$K22*dpsExp)-'Gear &amp; Buffs'!$AF$66</f>
        <v>-84.700092644593497</v>
      </c>
      <c r="V22" s="891">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8">
        <v>19</v>
      </c>
      <c r="Y22" s="714" t="str">
        <f t="shared" si="0"/>
        <v>Ring of Reciprocity</v>
      </c>
      <c r="Z22" s="47"/>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1">
        <f>($D23*dpsStr+$E23*dpsAgi+$G23*dpsCrit+$H23*dpsHit+$F23*dpsAP+$I23*dpsHaste+$J23*dpsArmor+$K23*dpsExp)-'Gear &amp; Buffs'!$AF$66</f>
        <v>17.602275443017788</v>
      </c>
      <c r="V23" s="891">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8">
        <v>20</v>
      </c>
      <c r="Y23" s="714" t="str">
        <f t="shared" si="0"/>
        <v>Ring of the Recalcitrant</v>
      </c>
      <c r="Z23" s="47"/>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1">
        <f>($D24*dpsStr+$E24*dpsAgi+$G24*dpsCrit+$H24*dpsHit+$F24*dpsAP+$I24*dpsHaste+$J24*dpsArmor+$K24*dpsExp)-'Gear &amp; Buffs'!$AF$66</f>
        <v>-44.963015825140474</v>
      </c>
      <c r="V24" s="891">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11</v>
      </c>
      <c r="X24" s="738">
        <v>21</v>
      </c>
      <c r="Y24" s="714" t="str">
        <f t="shared" si="0"/>
        <v>Ring of the Shadow Deeps</v>
      </c>
      <c r="Z24" s="47"/>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1">
        <f>($D25*dpsStr+$E25*dpsAgi+$G25*dpsCrit+$H25*dpsHit+$F25*dpsAP+$I25*dpsHaste+$J25*dpsArmor+$K25*dpsExp)-'Gear &amp; Buffs'!$AF$66</f>
        <v>-40.632551809153028</v>
      </c>
      <c r="V25" s="891">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12</v>
      </c>
      <c r="X25" s="738">
        <v>22</v>
      </c>
      <c r="Y25" s="714" t="str">
        <f t="shared" si="0"/>
        <v>Ring of Umbral Doom</v>
      </c>
      <c r="Z25" s="47"/>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1">
        <f>($D26*dpsStr+$E26*dpsAgi+$G26*dpsCrit+$H26*dpsHit+$F26*dpsAP+$I26*dpsHaste+$J26*dpsArmor+$K26*dpsExp)-'Gear &amp; Buffs'!$AF$66</f>
        <v>-45.017711954071274</v>
      </c>
      <c r="V26" s="891">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13</v>
      </c>
      <c r="X26" s="738">
        <v>23</v>
      </c>
      <c r="Y26" s="714" t="str">
        <f t="shared" si="0"/>
        <v>Shapeshifter's Signet</v>
      </c>
      <c r="Z26" s="47"/>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1">
        <f>($D27*dpsStr+$E27*dpsAgi+$G27*dpsCrit+$H27*dpsHit+$F27*dpsAP+$I27*dpsHaste+$J27*dpsArmor+$K27*dpsExp)-'Gear &amp; Buffs'!$AF$66</f>
        <v>-105.43086736851365</v>
      </c>
      <c r="V27" s="891">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14</v>
      </c>
      <c r="X27" s="738">
        <v>24</v>
      </c>
      <c r="Y27" s="714" t="str">
        <f t="shared" si="0"/>
        <v>Signet Ring of the Bronze Dragonflight</v>
      </c>
      <c r="Z27" s="47"/>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1">
        <f>($D28*dpsStr+$E28*dpsAgi+$G28*dpsCrit+$H28*dpsHit+$F28*dpsAP+$I28*dpsHaste+$J28*dpsArmor+$K28*dpsExp)-'Gear &amp; Buffs'!$AF$66</f>
        <v>-106.24447045094848</v>
      </c>
      <c r="V28" s="891">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15</v>
      </c>
      <c r="X28" s="738">
        <v>25</v>
      </c>
      <c r="Y28" s="714" t="str">
        <f t="shared" si="0"/>
        <v>Slayer's Mark of the Redemption</v>
      </c>
      <c r="Z28" s="47"/>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1">
        <f>($D29*dpsStr+$E29*dpsAgi+$G29*dpsCrit+$H29*dpsHit+$F29*dpsAP+$I29*dpsHaste+$J29*dpsArmor+$K29*dpsExp)-'Gear &amp; Buffs'!$AF$66</f>
        <v>-53.002941406867421</v>
      </c>
      <c r="V29" s="891">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16</v>
      </c>
      <c r="X29" s="738">
        <v>26</v>
      </c>
      <c r="Y29" s="714" t="str">
        <f t="shared" si="0"/>
        <v>Violet Signet (Friendly)</v>
      </c>
      <c r="Z29" s="47"/>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1">
        <f>($D30*dpsStr+$E30*dpsAgi+$G30*dpsCrit+$H30*dpsHit+$F30*dpsAP+$I30*dpsHaste+$J30*dpsArmor+$K30*dpsExp)-'Gear &amp; Buffs'!$AF$66</f>
        <v>-97.908482216744915</v>
      </c>
      <c r="V30" s="891">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17</v>
      </c>
      <c r="X30" s="738">
        <v>27</v>
      </c>
      <c r="Y30" s="714" t="str">
        <f t="shared" si="0"/>
        <v>Violet Signet (Honored)</v>
      </c>
      <c r="Z30" s="47"/>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1">
        <f>($D31*dpsStr+$E31*dpsAgi+$G31*dpsCrit+$H31*dpsHit+$F31*dpsAP+$I31*dpsHaste+$J31*dpsArmor+$K31*dpsExp)-'Gear &amp; Buffs'!$AF$66</f>
        <v>-31.323457594187403</v>
      </c>
      <c r="V31" s="891">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18</v>
      </c>
      <c r="X31" s="738">
        <v>28</v>
      </c>
      <c r="Y31" s="714" t="str">
        <f t="shared" si="0"/>
        <v>Violet Signet (Revered)</v>
      </c>
      <c r="Z31" s="47"/>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1">
        <f>($D32*dpsStr+$E32*dpsAgi+$G32*dpsCrit+$H32*dpsHit+$F32*dpsAP+$I32*dpsHaste+$J32*dpsArmor+$K32*dpsExp)-'Gear &amp; Buffs'!$AF$66</f>
        <v>6.208409210566515</v>
      </c>
      <c r="V32" s="891">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8">
        <v>29</v>
      </c>
      <c r="Y32" s="714" t="str">
        <f t="shared" si="0"/>
        <v>Violet Signet of the Master Assassin</v>
      </c>
      <c r="Z32" s="47"/>
      <c r="AA32" s="47"/>
    </row>
    <row r="33" spans="1:27">
      <c r="A33" s="130" t="s">
        <v>495</v>
      </c>
      <c r="B33" s="116">
        <v>29379</v>
      </c>
      <c r="C33" s="116">
        <v>3</v>
      </c>
      <c r="D33" s="114"/>
      <c r="E33" s="114"/>
      <c r="F33" s="114">
        <v>46</v>
      </c>
      <c r="G33" s="116">
        <v>23</v>
      </c>
      <c r="H33" s="116"/>
      <c r="I33" s="116"/>
      <c r="J33" s="114"/>
      <c r="K33" s="116"/>
      <c r="L33" s="114">
        <v>24</v>
      </c>
      <c r="M33" s="116"/>
      <c r="N33" s="116"/>
      <c r="O33" s="116"/>
      <c r="P33" s="114"/>
      <c r="Q33" s="114"/>
      <c r="R33" s="114"/>
      <c r="S33" s="114" t="s">
        <v>691</v>
      </c>
      <c r="T33" s="116"/>
      <c r="U33" s="891">
        <f>($D33*dpsStr+$E33*dpsAgi+$G33*dpsCrit+$H33*dpsHit+$F33*dpsAP+$I33*dpsHaste+$J33*dpsArmor+$K33*dpsExp)-'Gear &amp; Buffs'!$AF$66</f>
        <v>-98.527528613139111</v>
      </c>
      <c r="V33" s="891">
        <f>($D33*dpsStr+$E33*dpsAgi+$G33*dpsCrit+$H33*dpsHit+$F33*dpsAP+$I33*dpsHaste+$J33*dpsArmor+$K33*dpsExp)-'Gear &amp; Buffs'!$AF$68</f>
        <v>-104.73593782370563</v>
      </c>
      <c r="W33" s="114" t="str">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
      </c>
      <c r="X33" s="738">
        <v>30</v>
      </c>
      <c r="Y33" s="714" t="str">
        <f t="shared" si="0"/>
        <v>(Unmodeled)</v>
      </c>
      <c r="Z33" s="47"/>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1">
        <f>($D34*dpsStr+$E34*dpsAgi+$G34*dpsCrit+$H34*dpsHit+$F34*dpsAP+$I34*dpsHaste+$J34*dpsArmor+$K34*dpsExp)-'Gear &amp; Buffs'!$AF$66</f>
        <v>12.809184801855054</v>
      </c>
      <c r="V34" s="891">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8">
        <v>31</v>
      </c>
      <c r="Y34" s="714" t="str">
        <f t="shared" si="0"/>
        <v>(Unmodeled 2)</v>
      </c>
      <c r="Z34" s="47"/>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1">
        <f>($D35*dpsStr+$E35*dpsAgi+$G35*dpsCrit+$H35*dpsHit+$F35*dpsAP+$I35*dpsHaste+$J35*dpsArmor+$K35*dpsExp)-'Gear &amp; Buffs'!$AF$66</f>
        <v>12.432183203018667</v>
      </c>
      <c r="V35" s="891">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8">
        <v>32</v>
      </c>
      <c r="Y35" s="714" t="str">
        <f t="shared" si="0"/>
        <v/>
      </c>
      <c r="Z35" s="47"/>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1">
        <f>($D36*dpsStr+$E36*dpsAgi+$G36*dpsCrit+$H36*dpsHit+$F36*dpsAP+$I36*dpsHaste+$J36*dpsArmor+$K36*dpsExp)-'Gear &amp; Buffs'!$AF$66</f>
        <v>-12.302961414587116</v>
      </c>
      <c r="V36" s="891">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19</v>
      </c>
      <c r="X36" s="738">
        <v>33</v>
      </c>
      <c r="Y36" s="714" t="str">
        <f t="shared" si="0"/>
        <v/>
      </c>
      <c r="Z36" s="47"/>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1">
        <f>($D37*dpsStr+$E37*dpsAgi+$G37*dpsCrit+$H37*dpsHit+$F37*dpsAP+$I37*dpsHaste+$J37*dpsArmor+$K37*dpsExp)-'Gear &amp; Buffs'!$AF$66</f>
        <v>-30.891759866420216</v>
      </c>
      <c r="V37" s="891">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8">
        <v>34</v>
      </c>
      <c r="Y37" s="714" t="str">
        <f t="shared" si="0"/>
        <v/>
      </c>
      <c r="Z37" s="47"/>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675</v>
      </c>
      <c r="T38" s="116"/>
      <c r="U38" s="891">
        <f>($D38*dpsStr+$E38*dpsAgi+$G38*dpsCrit+$H38*dpsHit+$F38*dpsAP+$I38*dpsHaste+$J38*dpsArmor+$K38*dpsExp)-'Gear &amp; Buffs'!$AF$66</f>
        <v>-91.589094568976634</v>
      </c>
      <c r="V38" s="891">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20</v>
      </c>
      <c r="X38" s="738">
        <v>35</v>
      </c>
      <c r="Y38" s="714" t="str">
        <f t="shared" si="0"/>
        <v/>
      </c>
      <c r="Z38" s="47"/>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1">
        <f>($D39*dpsStr+$E39*dpsAgi+$G39*dpsCrit+$H39*dpsHit+$F39*dpsAP+$I39*dpsHaste+$J39*dpsArmor+$K39*dpsExp)-'Gear &amp; Buffs'!$AF$66</f>
        <v>-35.609972720318638</v>
      </c>
      <c r="V39" s="891">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21</v>
      </c>
      <c r="X39" s="738">
        <v>36</v>
      </c>
      <c r="Y39" s="714" t="str">
        <f t="shared" si="0"/>
        <v/>
      </c>
      <c r="Z39" s="47"/>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1">
        <f>($D40*dpsStr+$E40*dpsAgi+$G40*dpsCrit+$H40*dpsHit+$F40*dpsAP+$I40*dpsHaste+$J40*dpsArmor+$K40*dpsExp)-'Gear &amp; Buffs'!$AF$66</f>
        <v>-102.72889768479854</v>
      </c>
      <c r="V40" s="891">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22</v>
      </c>
      <c r="X40" s="738">
        <v>37</v>
      </c>
      <c r="Y40" s="714" t="str">
        <f t="shared" si="0"/>
        <v/>
      </c>
      <c r="Z40" s="47"/>
      <c r="AA40" s="47"/>
    </row>
    <row r="41" spans="1:27">
      <c r="A41" s="130" t="s">
        <v>1699</v>
      </c>
      <c r="B41" s="116">
        <v>31920</v>
      </c>
      <c r="C41" s="116">
        <v>3</v>
      </c>
      <c r="D41" s="114"/>
      <c r="E41" s="114"/>
      <c r="F41" s="114">
        <v>40</v>
      </c>
      <c r="G41" s="116">
        <v>20</v>
      </c>
      <c r="H41" s="116">
        <v>19</v>
      </c>
      <c r="I41" s="116"/>
      <c r="J41" s="114"/>
      <c r="K41" s="116"/>
      <c r="L41" s="114"/>
      <c r="M41" s="116"/>
      <c r="N41" s="116"/>
      <c r="O41" s="116"/>
      <c r="P41" s="114"/>
      <c r="Q41" s="114"/>
      <c r="R41" s="114"/>
      <c r="S41" s="114" t="s">
        <v>691</v>
      </c>
      <c r="T41" s="116"/>
      <c r="U41" s="891">
        <f>($D41*dpsStr+$E41*dpsAgi+$G41*dpsCrit+$H41*dpsHit+$F41*dpsAP+$I41*dpsHaste+$J41*dpsArmor+$K41*dpsExp)-'Gear &amp; Buffs'!$AF$66</f>
        <v>2.7217001906174119</v>
      </c>
      <c r="V41" s="891">
        <f>($D41*dpsStr+$E41*dpsAgi+$G41*dpsCrit+$H41*dpsHit+$F41*dpsAP+$I41*dpsHaste+$J41*dpsArmor+$K41*dpsExp)-'Gear &amp; Buffs'!$AF$68</f>
        <v>-3.4867090199491031</v>
      </c>
      <c r="W41" s="114" t="str">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
      </c>
      <c r="X41" s="738">
        <v>38</v>
      </c>
      <c r="Y41" s="714" t="str">
        <f t="shared" si="0"/>
        <v/>
      </c>
      <c r="Z41" s="47"/>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1">
        <f>($D42*dpsStr+$E42*dpsAgi+$G42*dpsCrit+$H42*dpsHit+$F42*dpsAP+$I42*dpsHaste+$J42*dpsArmor+$K42*dpsExp)-'Gear &amp; Buffs'!$AF$66</f>
        <v>-86.4855001692315</v>
      </c>
      <c r="V42" s="891">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23</v>
      </c>
      <c r="X42" s="738">
        <v>39</v>
      </c>
      <c r="Y42" s="714" t="str">
        <f t="shared" si="0"/>
        <v/>
      </c>
      <c r="Z42" s="47"/>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1">
        <f>($D43*dpsStr+$E43*dpsAgi+$G43*dpsCrit+$H43*dpsHit+$F43*dpsAP+$I43*dpsHaste+$J43*dpsArmor+$K43*dpsExp)-'Gear &amp; Buffs'!$AF$66</f>
        <v>-71.364439219807537</v>
      </c>
      <c r="V43" s="891">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8">
        <v>40</v>
      </c>
      <c r="Y43" s="714" t="str">
        <f t="shared" si="0"/>
        <v/>
      </c>
      <c r="Z43" s="47"/>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1">
        <f>($D44*dpsStr+$E44*dpsAgi+$G44*dpsCrit+$H44*dpsHit+$F44*dpsAP+$I44*dpsHaste+$J44*dpsArmor+$K44*dpsExp)-'Gear &amp; Buffs'!$AF$66</f>
        <v>-51.771957889369787</v>
      </c>
      <c r="V44" s="891">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24</v>
      </c>
      <c r="X44" s="738">
        <v>41</v>
      </c>
      <c r="Y44" s="714" t="str">
        <f t="shared" si="0"/>
        <v/>
      </c>
      <c r="Z44" s="47"/>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1">
        <f>($D45*dpsStr+$E45*dpsAgi+$G45*dpsCrit+$H45*dpsHit+$F45*dpsAP+$I45*dpsHaste+$J45*dpsArmor+$K45*dpsExp)-'Gear &amp; Buffs'!$AF$66</f>
        <v>-90.810586775329739</v>
      </c>
      <c r="V45" s="891">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8">
        <v>42</v>
      </c>
      <c r="Y45" s="714" t="str">
        <f t="shared" si="0"/>
        <v/>
      </c>
      <c r="Z45" s="47"/>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1">
        <f>($D46*dpsStr+$E46*dpsAgi+$G46*dpsCrit+$H46*dpsHit+$F46*dpsAP+$I46*dpsHaste+$J46*dpsArmor+$K46*dpsExp)-'Gear &amp; Buffs'!$AF$66</f>
        <v>-44.963015825140474</v>
      </c>
      <c r="V46" s="891">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25</v>
      </c>
      <c r="X46" s="738">
        <v>43</v>
      </c>
      <c r="Y46" s="714" t="str">
        <f t="shared" si="0"/>
        <v/>
      </c>
      <c r="Z46" s="47"/>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1">
        <f>($D47*dpsStr+$E47*dpsAgi+$G47*dpsCrit+$H47*dpsHit+$F47*dpsAP+$I47*dpsHaste+$J47*dpsArmor+$K47*dpsExp)-'Gear &amp; Buffs'!$AF$66</f>
        <v>74.833184659469225</v>
      </c>
      <c r="V47" s="891">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8">
        <v>44</v>
      </c>
      <c r="Y47" s="714" t="str">
        <f t="shared" si="0"/>
        <v/>
      </c>
      <c r="Z47" s="47"/>
      <c r="AA47" s="47"/>
    </row>
    <row r="48" spans="1:27">
      <c r="A48" s="130" t="s">
        <v>2384</v>
      </c>
      <c r="B48" s="116">
        <v>31326</v>
      </c>
      <c r="C48" s="116">
        <v>3</v>
      </c>
      <c r="D48" s="114"/>
      <c r="E48" s="114">
        <v>21</v>
      </c>
      <c r="F48" s="114">
        <v>40</v>
      </c>
      <c r="G48" s="116"/>
      <c r="H48" s="116"/>
      <c r="I48" s="116"/>
      <c r="J48" s="114"/>
      <c r="K48" s="116"/>
      <c r="L48" s="114"/>
      <c r="M48" s="116"/>
      <c r="N48" s="116"/>
      <c r="O48" s="116"/>
      <c r="P48" s="114"/>
      <c r="Q48" s="114"/>
      <c r="R48" s="114"/>
      <c r="S48" s="114" t="s">
        <v>674</v>
      </c>
      <c r="T48" s="116"/>
      <c r="U48" s="891">
        <f>($D48*dpsStr+$E48*dpsAgi+$G48*dpsCrit+$H48*dpsHit+$F48*dpsAP+$I48*dpsHaste+$J48*dpsArmor+$K48*dpsExp)-'Gear &amp; Buffs'!$AF$66</f>
        <v>-99.073353538953825</v>
      </c>
      <c r="V48" s="891">
        <f>($D48*dpsStr+$E48*dpsAgi+$G48*dpsCrit+$H48*dpsHit+$F48*dpsAP+$I48*dpsHaste+$J48*dpsArmor+$K48*dpsExp)-'Gear &amp; Buffs'!$AF$68</f>
        <v>-105.28176274952034</v>
      </c>
      <c r="W48" s="114" t="str">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
      </c>
      <c r="X48" s="738">
        <v>45</v>
      </c>
      <c r="Y48" s="714" t="str">
        <f t="shared" si="0"/>
        <v/>
      </c>
      <c r="Z48" s="47"/>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1">
        <f>($D49*dpsStr+$E49*dpsAgi+$G49*dpsCrit+$H49*dpsHit+$F49*dpsAP+$I49*dpsHaste+$J49*dpsArmor+$K49*dpsExp)-'Gear &amp; Buffs'!$AF$66</f>
        <v>-96.013866640025299</v>
      </c>
      <c r="V49" s="891">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8">
        <v>46</v>
      </c>
      <c r="Y49" s="714" t="str">
        <f t="shared" si="0"/>
        <v/>
      </c>
      <c r="Z49" s="47"/>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1">
        <f>($D50*dpsStr+$E50*dpsAgi+$G50*dpsCrit+$H50*dpsHit+$F50*dpsAP+$I50*dpsHaste+$J50*dpsArmor+$K50*dpsExp)-'Gear &amp; Buffs'!$AF$66</f>
        <v>-100.64264502206925</v>
      </c>
      <c r="V50" s="891">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8">
        <v>47</v>
      </c>
      <c r="Y50" s="714" t="str">
        <f t="shared" si="0"/>
        <v/>
      </c>
      <c r="Z50" s="47"/>
      <c r="AA50" s="47"/>
    </row>
    <row r="51" spans="1:29">
      <c r="A51" s="130" t="s">
        <v>159</v>
      </c>
      <c r="B51" s="116">
        <v>33919</v>
      </c>
      <c r="C51" s="116">
        <v>3</v>
      </c>
      <c r="D51" s="114"/>
      <c r="E51" s="114"/>
      <c r="F51" s="114">
        <v>44</v>
      </c>
      <c r="G51" s="116">
        <v>26</v>
      </c>
      <c r="H51" s="116"/>
      <c r="I51" s="116"/>
      <c r="J51" s="114">
        <v>56</v>
      </c>
      <c r="K51" s="116"/>
      <c r="L51" s="114">
        <v>34</v>
      </c>
      <c r="M51" s="116"/>
      <c r="N51" s="116">
        <v>22</v>
      </c>
      <c r="O51" s="116"/>
      <c r="P51" s="114"/>
      <c r="Q51" s="114"/>
      <c r="R51" s="114"/>
      <c r="S51" s="114" t="s">
        <v>677</v>
      </c>
      <c r="T51" s="116"/>
      <c r="U51" s="891">
        <f>($D51*dpsStr+$E51*dpsAgi+$G51*dpsCrit+$H51*dpsHit+$F51*dpsAP+$I51*dpsHaste+$J51*dpsArmor+$K51*dpsExp)-'Gear &amp; Buffs'!$AF$66</f>
        <v>-90.301918073472734</v>
      </c>
      <c r="V51" s="891">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8">
        <v>48</v>
      </c>
      <c r="Y51" s="714" t="str">
        <f t="shared" si="0"/>
        <v/>
      </c>
      <c r="Z51" s="47"/>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1">
        <f>($D52*dpsStr+$E52*dpsAgi+$G52*dpsCrit+$H52*dpsHit+$F52*dpsAP+$I52*dpsHaste+$J52*dpsArmor+$K52*dpsExp)-'Gear &amp; Buffs'!$AF$66</f>
        <v>-15.829597334989103</v>
      </c>
      <c r="V52" s="891">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26</v>
      </c>
      <c r="X52" s="738">
        <v>49</v>
      </c>
      <c r="Y52" s="714" t="str">
        <f t="shared" si="0"/>
        <v/>
      </c>
      <c r="Z52" s="114"/>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1">
        <f>($D53*dpsStr+$E53*dpsAgi+$G53*dpsCrit+$H53*dpsHit+$F53*dpsAP+$I53*dpsHaste+$J53*dpsArmor+$K53*dpsExp)-'Gear &amp; Buffs'!$AF$66</f>
        <v>9.2291687403608194</v>
      </c>
      <c r="V53" s="891">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27</v>
      </c>
      <c r="X53" s="738">
        <v>50</v>
      </c>
      <c r="Y53" s="714" t="str">
        <f t="shared" si="0"/>
        <v/>
      </c>
      <c r="Z53" s="114"/>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1">
        <f>($D54*dpsStr+$E54*dpsAgi+$G54*dpsCrit+$H54*dpsHit+$F54*dpsAP+$I54*dpsHaste+$J54*dpsArmor+$K54*dpsExp)-'Gear &amp; Buffs'!$AF$66</f>
        <v>21.043891726325455</v>
      </c>
      <c r="V54" s="891">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28</v>
      </c>
      <c r="X54" s="738">
        <v>51</v>
      </c>
      <c r="Y54" s="714" t="str">
        <f t="shared" si="0"/>
        <v/>
      </c>
      <c r="Z54" s="114"/>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1">
        <f>($D55*dpsStr+$E55*dpsAgi+$G55*dpsCrit+$H55*dpsHit+$F55*dpsAP+$I55*dpsHaste+$J55*dpsArmor+$K55*dpsExp)-'Gear &amp; Buffs'!$AF$66</f>
        <v>28.023243296873261</v>
      </c>
      <c r="V55" s="891">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29</v>
      </c>
      <c r="X55" s="738">
        <v>52</v>
      </c>
      <c r="Y55" s="714" t="str">
        <f t="shared" si="0"/>
        <v/>
      </c>
      <c r="Z55" s="47"/>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20">
        <f>'Gear &amp; Buffs'!$S$166</f>
        <v>0</v>
      </c>
      <c r="S56" s="114"/>
      <c r="T56" s="116"/>
      <c r="U56" s="891">
        <f>($D56*dpsStr+$E56*dpsAgi+$G56*dpsCrit+$H56*dpsHit+$F56*dpsAP+$I56*dpsHaste+$J56*dpsArmor+$K56*dpsExp)-'Gear &amp; Buffs'!$AF$66</f>
        <v>-130.73802482919473</v>
      </c>
      <c r="V56" s="891">
        <f>($D56*dpsStr+$E56*dpsAgi+$G56*dpsCrit+$H56*dpsHit+$F56*dpsAP+$I56*dpsHaste+$J56*dpsArmor+$K56*dpsExp)-'Gear &amp; Buffs'!$AF$68</f>
        <v>-136.94643403976124</v>
      </c>
      <c r="W56" s="114">
        <f>MAX($W$1:W55)+1</f>
        <v>30</v>
      </c>
      <c r="X56" s="738">
        <v>53</v>
      </c>
      <c r="Y56" s="714" t="str">
        <f t="shared" si="0"/>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20">
        <f>'Gear &amp; Buffs'!$S$167</f>
        <v>0</v>
      </c>
      <c r="S57" s="114"/>
      <c r="T57" s="116"/>
      <c r="U57" s="891">
        <f>($D57*dpsStr+$E57*dpsAgi+$G57*dpsCrit+$H57*dpsHit+$F57*dpsAP+$I57*dpsHaste+$J57*dpsArmor+$K57*dpsExp)-'Gear &amp; Buffs'!$AF$66</f>
        <v>-130.73802482919473</v>
      </c>
      <c r="V57" s="891">
        <f>($D57*dpsStr+$E57*dpsAgi+$G57*dpsCrit+$H57*dpsHit+$F57*dpsAP+$I57*dpsHaste+$J57*dpsArmor+$K57*dpsExp)-'Gear &amp; Buffs'!$AF$68</f>
        <v>-136.94643403976124</v>
      </c>
      <c r="W57" s="114">
        <f>MAX($W$1:W56)+1</f>
        <v>31</v>
      </c>
      <c r="X57" s="738">
        <v>54</v>
      </c>
      <c r="Y57" s="714" t="str">
        <f t="shared" si="0"/>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1"/>
      <c r="V58" s="891"/>
      <c r="W58" s="114"/>
      <c r="X58" s="738">
        <v>55</v>
      </c>
      <c r="Y58" s="714" t="str">
        <f t="shared" si="0"/>
        <v/>
      </c>
      <c r="Z58" s="47"/>
      <c r="AA58" s="47"/>
    </row>
    <row r="59" spans="1:29">
      <c r="B59" s="116"/>
      <c r="C59" s="116"/>
      <c r="I59" s="116"/>
      <c r="J59" s="114"/>
      <c r="K59" s="116"/>
      <c r="M59" s="116"/>
      <c r="N59" s="116"/>
      <c r="O59" s="116"/>
      <c r="P59" s="114"/>
      <c r="Q59" s="114"/>
      <c r="R59" s="114"/>
      <c r="T59" s="116"/>
      <c r="X59" s="869"/>
    </row>
    <row r="60" spans="1:29" s="47" customFormat="1" ht="23.25" thickBot="1">
      <c r="A60" s="740" t="s">
        <v>1704</v>
      </c>
      <c r="B60" s="730" t="s">
        <v>1934</v>
      </c>
      <c r="C60" s="730" t="s">
        <v>2798</v>
      </c>
      <c r="D60" s="731" t="s">
        <v>1214</v>
      </c>
      <c r="E60" s="731" t="s">
        <v>1215</v>
      </c>
      <c r="F60" s="731" t="s">
        <v>768</v>
      </c>
      <c r="G60" s="730" t="s">
        <v>2140</v>
      </c>
      <c r="H60" s="730" t="s">
        <v>2139</v>
      </c>
      <c r="I60" s="730" t="s">
        <v>771</v>
      </c>
      <c r="J60" s="732" t="s">
        <v>770</v>
      </c>
      <c r="K60" s="730" t="s">
        <v>760</v>
      </c>
      <c r="L60" s="731" t="s">
        <v>1216</v>
      </c>
      <c r="M60" s="730" t="s">
        <v>264</v>
      </c>
      <c r="N60" s="730" t="s">
        <v>1217</v>
      </c>
      <c r="O60" s="730" t="s">
        <v>1287</v>
      </c>
      <c r="P60" s="730" t="s">
        <v>1046</v>
      </c>
      <c r="Q60" s="731" t="s">
        <v>1047</v>
      </c>
      <c r="R60" s="731" t="s">
        <v>1941</v>
      </c>
      <c r="S60" s="731" t="s">
        <v>666</v>
      </c>
      <c r="T60" s="730" t="s">
        <v>921</v>
      </c>
      <c r="U60" s="731" t="s">
        <v>1222</v>
      </c>
      <c r="V60" s="754" t="s">
        <v>1705</v>
      </c>
      <c r="W60" s="744">
        <v>0</v>
      </c>
      <c r="X60" s="741"/>
      <c r="Y60" s="742" t="s">
        <v>1689</v>
      </c>
    </row>
    <row r="61" spans="1:29">
      <c r="A61" s="736" t="s">
        <v>1706</v>
      </c>
      <c r="B61" s="697">
        <v>2931</v>
      </c>
      <c r="C61" s="697">
        <v>3</v>
      </c>
      <c r="D61" s="696">
        <v>4</v>
      </c>
      <c r="E61" s="696">
        <v>4</v>
      </c>
      <c r="F61" s="696"/>
      <c r="G61" s="697"/>
      <c r="H61" s="697"/>
      <c r="I61" s="697"/>
      <c r="J61" s="697"/>
      <c r="K61" s="697"/>
      <c r="L61" s="696">
        <v>4</v>
      </c>
      <c r="M61" s="697"/>
      <c r="N61" s="697"/>
      <c r="O61" s="697"/>
      <c r="P61" s="697"/>
      <c r="Q61" s="697"/>
      <c r="R61" s="697"/>
      <c r="S61" s="697" t="s">
        <v>806</v>
      </c>
      <c r="T61" s="697" t="b">
        <v>0</v>
      </c>
      <c r="U61" s="697"/>
      <c r="V61" s="756"/>
      <c r="W61" s="221"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7"/>
      <c r="Y61" s="713"/>
    </row>
    <row r="62" spans="1:29">
      <c r="A62" s="677" t="s">
        <v>1564</v>
      </c>
      <c r="B62" s="679">
        <v>2929</v>
      </c>
      <c r="C62" s="679">
        <v>1</v>
      </c>
      <c r="D62" s="678"/>
      <c r="E62" s="678"/>
      <c r="F62" s="678"/>
      <c r="G62" s="679"/>
      <c r="H62" s="679"/>
      <c r="I62" s="679"/>
      <c r="J62" s="679"/>
      <c r="K62" s="679"/>
      <c r="L62" s="678"/>
      <c r="M62" s="679"/>
      <c r="N62" s="679"/>
      <c r="O62" s="679"/>
      <c r="P62" s="679"/>
      <c r="Q62" s="679"/>
      <c r="R62" s="679"/>
      <c r="S62" s="679" t="s">
        <v>806</v>
      </c>
      <c r="T62" s="679" t="b">
        <v>0</v>
      </c>
      <c r="U62" s="679"/>
      <c r="V62" s="718">
        <v>2</v>
      </c>
      <c r="W62" s="221" t="str">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
      </c>
      <c r="X62" s="738">
        <v>1</v>
      </c>
      <c r="Y62" s="752" t="str">
        <f>IF(ISNA(INDEX($A$61:$A$62,MATCH(X62,W$61:W$62,0))), "", INDEX($A$61:$A$62,MATCH(X62,W$61:W$62,0)))</f>
        <v/>
      </c>
    </row>
    <row r="63" spans="1:29">
      <c r="A63" s="677" t="s">
        <v>2207</v>
      </c>
      <c r="B63" s="682"/>
      <c r="C63" s="682"/>
      <c r="D63" s="682"/>
      <c r="E63" s="682"/>
      <c r="F63" s="682"/>
      <c r="G63" s="682"/>
      <c r="H63" s="682"/>
      <c r="I63" s="682"/>
      <c r="J63" s="682"/>
      <c r="K63" s="682"/>
      <c r="L63" s="682"/>
      <c r="M63" s="682"/>
      <c r="N63" s="682"/>
      <c r="O63" s="682"/>
      <c r="P63" s="682"/>
      <c r="Q63" s="682"/>
      <c r="R63" s="682"/>
      <c r="S63" s="682"/>
      <c r="T63" s="682"/>
      <c r="U63" s="682"/>
      <c r="V63" s="768"/>
      <c r="W63" s="681"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8">
        <v>2</v>
      </c>
      <c r="Y63" s="752"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Z120"/>
  <sheetViews>
    <sheetView workbookViewId="0">
      <selection activeCell="C12" sqref="C1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8" width="23.42578125" style="48" bestFit="1" customWidth="1"/>
    <col min="29" max="29" width="9.140625" style="48"/>
    <col min="30" max="30" width="11.85546875" style="48" bestFit="1" customWidth="1"/>
    <col min="31" max="31" width="7" style="48" bestFit="1" customWidth="1"/>
    <col min="32" max="32" width="7.28515625" style="48" bestFit="1" customWidth="1"/>
    <col min="33" max="33" width="7" style="48" bestFit="1" customWidth="1"/>
    <col min="34" max="34" width="8.28515625" style="48" bestFit="1" customWidth="1"/>
    <col min="35" max="35" width="7" style="48" bestFit="1" customWidth="1"/>
    <col min="36" max="52" width="9.28515625" style="48" bestFit="1" customWidth="1"/>
    <col min="53" max="16384" width="9.140625" style="48"/>
  </cols>
  <sheetData>
    <row r="1" spans="1:35" s="47" customFormat="1" ht="23.25" thickBot="1">
      <c r="A1" s="700" t="s">
        <v>164</v>
      </c>
      <c r="B1" s="700" t="s">
        <v>1934</v>
      </c>
      <c r="C1" s="700" t="s">
        <v>2798</v>
      </c>
      <c r="D1" s="700" t="s">
        <v>1214</v>
      </c>
      <c r="E1" s="700" t="s">
        <v>1215</v>
      </c>
      <c r="F1" s="700" t="s">
        <v>768</v>
      </c>
      <c r="G1" s="705" t="s">
        <v>2140</v>
      </c>
      <c r="H1" s="705" t="s">
        <v>2139</v>
      </c>
      <c r="I1" s="700" t="s">
        <v>771</v>
      </c>
      <c r="J1" s="700" t="s">
        <v>1219</v>
      </c>
      <c r="K1" s="705" t="s">
        <v>760</v>
      </c>
      <c r="L1" s="700" t="s">
        <v>1216</v>
      </c>
      <c r="M1" s="705" t="s">
        <v>264</v>
      </c>
      <c r="N1" s="705" t="s">
        <v>1217</v>
      </c>
      <c r="O1" s="705" t="s">
        <v>1287</v>
      </c>
      <c r="P1" s="706" t="s">
        <v>1221</v>
      </c>
      <c r="Q1" s="704" t="s">
        <v>1047</v>
      </c>
      <c r="R1" s="704" t="s">
        <v>1941</v>
      </c>
      <c r="S1" s="704" t="s">
        <v>666</v>
      </c>
      <c r="T1" s="849" t="s">
        <v>1707</v>
      </c>
      <c r="U1" s="700" t="s">
        <v>1708</v>
      </c>
      <c r="V1" s="705"/>
      <c r="W1" s="704" t="s">
        <v>710</v>
      </c>
      <c r="X1" s="704" t="s">
        <v>711</v>
      </c>
      <c r="Y1" s="704" t="s">
        <v>712</v>
      </c>
      <c r="Z1" s="743">
        <v>0</v>
      </c>
      <c r="AA1" s="743"/>
      <c r="AB1" s="700" t="s">
        <v>671</v>
      </c>
    </row>
    <row r="2" spans="1:35"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7"/>
      <c r="X2" s="891">
        <f>($D2*dpsStr+$E2*dpsAgi+$G2*dpsCrit+$H2*dpsHit+$F2*dpsAP+$I2*dpsHaste+$J2*dpsArmor+$K2*dpsExp)+$W2-'Gear &amp; Buffs'!$AF$70</f>
        <v>-358.28304712042586</v>
      </c>
      <c r="Y2" s="891">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8"/>
      <c r="AB2" s="714" t="s">
        <v>1689</v>
      </c>
    </row>
    <row r="3" spans="1:35"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7"/>
      <c r="X3" s="891">
        <f>($D3*dpsStr+$E3*dpsAgi+$G3*dpsCrit+$H3*dpsHit+$F3*dpsAP+$I3*dpsHaste+$J3*dpsArmor+$K3*dpsExp)+$W3-'Gear &amp; Buffs'!$AF$70</f>
        <v>-366.7504463594571</v>
      </c>
      <c r="Y3" s="891">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8"/>
      <c r="AB3" s="714" t="str">
        <f>" "</f>
        <v xml:space="preserve"> </v>
      </c>
    </row>
    <row r="4" spans="1:35"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7"/>
      <c r="X4" s="891">
        <f>($D4*dpsStr+$E4*dpsAgi+$G4*dpsCrit+$H4*dpsHit+$F4*dpsAP+$I4*dpsHaste+$J4*dpsArmor+$K4*dpsExp)+$W4-'Gear &amp; Buffs'!$AF$70</f>
        <v>-321.48789019583114</v>
      </c>
      <c r="Y4" s="891">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8">
        <v>1</v>
      </c>
      <c r="AB4" s="714" t="str">
        <f t="shared" ref="AB4:AB40" si="0">IF(ISNA(INDEX($A$2:$A$39,MATCH(AA4,Z$2:Z$39,0))), "", INDEX($A$2:$A$39,MATCH(AA4,Z$2:Z$39,0)))</f>
        <v>Abacus of Violent Odds</v>
      </c>
      <c r="AD4" s="852"/>
      <c r="AE4" s="852"/>
      <c r="AF4" s="852"/>
      <c r="AG4" s="852"/>
      <c r="AH4" s="852" t="s">
        <v>2850</v>
      </c>
      <c r="AI4" s="852"/>
    </row>
    <row r="5" spans="1:35"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7"/>
      <c r="X5" s="891">
        <f>($D5*dpsStr+$E5*dpsAgi+$G5*dpsCrit+$H5*dpsHit+$F5*dpsAP+$I5*dpsHaste+$J5*dpsArmor+$K5*dpsExp)+$W5-'Gear &amp; Buffs'!$AF$70</f>
        <v>-342.56052598279871</v>
      </c>
      <c r="Y5" s="891">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8">
        <v>2</v>
      </c>
      <c r="AB5" s="714" t="str">
        <f t="shared" si="0"/>
        <v>Ancient Draenei War Talisman</v>
      </c>
      <c r="AD5" s="852"/>
      <c r="AE5" s="853" t="s">
        <v>2851</v>
      </c>
      <c r="AF5" s="854">
        <f>Optimize!C54</f>
        <v>0.33374978855287174</v>
      </c>
      <c r="AG5" s="854">
        <f>IF(AH5*AF5&gt;0, AH5*AF5, 1)</f>
        <v>22.60196166079864</v>
      </c>
      <c r="AH5" s="854">
        <f>Optimize!C55</f>
        <v>67.721276345372416</v>
      </c>
      <c r="AI5" s="852"/>
    </row>
    <row r="6" spans="1:35" ht="12" customHeight="1">
      <c r="A6" s="130" t="s">
        <v>2834</v>
      </c>
      <c r="B6" s="116">
        <v>32658</v>
      </c>
      <c r="C6" s="116">
        <v>3</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7"/>
      <c r="X6" s="891">
        <f>($D6*dpsStr+$E6*dpsAgi+$G6*dpsCrit+$H6*dpsHit+$F6*dpsAP+$I6*dpsHaste+$J6*dpsArmor+$K6*dpsExp)+$W6-'Gear &amp; Buffs'!$AF$70</f>
        <v>-381.15216877515627</v>
      </c>
      <c r="Y6" s="891">
        <f>($D6*dpsStr+$E6*dpsAgi+$G6*dpsCrit+$H6*dpsHit+$F6*dpsAP+$I6*dpsHaste+$J6*dpsArmor+$K6*dpsExp)+$W6-'Gear &amp; Buffs'!$AF$71</f>
        <v>-25.727761861571707</v>
      </c>
      <c r="Z6" s="114" t="str">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
      </c>
      <c r="AA6" s="738">
        <v>3</v>
      </c>
      <c r="AB6" s="714" t="str">
        <f t="shared" si="0"/>
        <v>Badge of the Swarmguard</v>
      </c>
      <c r="AD6" s="852"/>
      <c r="AE6" s="852" t="s">
        <v>2852</v>
      </c>
      <c r="AF6" s="852" t="s">
        <v>2853</v>
      </c>
      <c r="AG6" s="852" t="s">
        <v>2854</v>
      </c>
      <c r="AH6" s="852" t="s">
        <v>2855</v>
      </c>
      <c r="AI6" s="852" t="s">
        <v>2856</v>
      </c>
    </row>
    <row r="7" spans="1:35" ht="12" customHeight="1">
      <c r="A7" s="10" t="s">
        <v>2848</v>
      </c>
      <c r="B7" s="116">
        <v>21670</v>
      </c>
      <c r="C7" s="116">
        <v>1</v>
      </c>
      <c r="D7" s="114"/>
      <c r="E7" s="114"/>
      <c r="F7" s="115"/>
      <c r="G7" s="116"/>
      <c r="H7" s="116"/>
      <c r="I7" s="115"/>
      <c r="J7" s="114">
        <f>IF(time=0, MIN(AF16*200, AE17)/180*30, 0)</f>
        <v>0</v>
      </c>
      <c r="K7" s="116"/>
      <c r="L7" s="114"/>
      <c r="M7" s="116"/>
      <c r="N7" s="114"/>
      <c r="O7" s="116"/>
      <c r="P7" s="114"/>
      <c r="Q7" s="114"/>
      <c r="R7" s="114"/>
      <c r="S7" s="114" t="s">
        <v>668</v>
      </c>
      <c r="T7" s="10" t="s">
        <v>2849</v>
      </c>
      <c r="U7" s="114" t="s">
        <v>1719</v>
      </c>
      <c r="V7" s="116" t="s">
        <v>1109</v>
      </c>
      <c r="W7" s="777"/>
      <c r="X7" s="891">
        <f>($D7*dpsStr+$E7*dpsAgi+$G7*dpsCrit+$H7*dpsHit+$F7*dpsAP+$I7*dpsHaste+$J7*dpsArmor+$K7*dpsExp)+$W7-'Gear &amp; Buffs'!$AF$70</f>
        <v>-381.15216877515627</v>
      </c>
      <c r="Y7" s="891">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3</v>
      </c>
      <c r="AA7" s="738">
        <v>4</v>
      </c>
      <c r="AB7" s="714" t="str">
        <f t="shared" si="0"/>
        <v>Bladefist's Breadth</v>
      </c>
      <c r="AD7" s="852" t="s">
        <v>2857</v>
      </c>
      <c r="AE7" s="855">
        <f>30/BotSprocs</f>
        <v>1.3273184182075968</v>
      </c>
      <c r="AF7" s="855">
        <v>1</v>
      </c>
      <c r="AG7" s="855">
        <v>0</v>
      </c>
      <c r="AH7" s="855">
        <v>0</v>
      </c>
      <c r="AI7" s="852">
        <v>0</v>
      </c>
    </row>
    <row r="8" spans="1:35"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7"/>
      <c r="X8" s="891">
        <f>($D8*dpsStr+$E8*dpsAgi+$G8*dpsCrit+$H8*dpsHit+$F8*dpsAP+$I8*dpsHaste+$J8*dpsArmor+$K8*dpsExp)+$W8-'Gear &amp; Buffs'!$AF$70</f>
        <v>-348.99246644819164</v>
      </c>
      <c r="Y8" s="891">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8">
        <v>5</v>
      </c>
      <c r="AB8" s="714" t="str">
        <f t="shared" si="0"/>
        <v>Core of Ar'kelos</v>
      </c>
      <c r="AD8" s="852" t="s">
        <v>1274</v>
      </c>
      <c r="AE8" s="855">
        <f>30/(1+BotSprocs/(1-EXP(-BotSprocs)))</f>
        <v>1.2710807867059044</v>
      </c>
      <c r="AF8" s="855">
        <f>(1-EXP(-$AH$5*BotSrate))</f>
        <v>0.99999999984721077</v>
      </c>
      <c r="AG8" s="855">
        <v>30</v>
      </c>
      <c r="AH8" s="855">
        <f>AF7-AF8</f>
        <v>1.5278922571582143E-10</v>
      </c>
      <c r="AI8" s="852">
        <v>1</v>
      </c>
    </row>
    <row r="9" spans="1:35" ht="12" customHeight="1">
      <c r="A9" s="10" t="s">
        <v>990</v>
      </c>
      <c r="B9" s="116">
        <v>34427</v>
      </c>
      <c r="C9" s="116">
        <v>5</v>
      </c>
      <c r="D9" s="114"/>
      <c r="E9" s="114"/>
      <c r="F9" s="115">
        <f>Optimize!C28*Optimize!C29</f>
        <v>161.37802140020659</v>
      </c>
      <c r="G9" s="116"/>
      <c r="H9" s="116"/>
      <c r="I9" s="115">
        <v>54</v>
      </c>
      <c r="J9" s="114"/>
      <c r="K9" s="116"/>
      <c r="L9" s="114"/>
      <c r="M9" s="116"/>
      <c r="N9" s="114"/>
      <c r="O9" s="116"/>
      <c r="P9" s="114"/>
      <c r="Q9" s="114"/>
      <c r="R9" s="114"/>
      <c r="S9" s="114" t="s">
        <v>871</v>
      </c>
      <c r="T9" s="10"/>
      <c r="U9" s="114"/>
      <c r="V9" s="116" t="s">
        <v>1109</v>
      </c>
      <c r="W9" s="777"/>
      <c r="X9" s="891">
        <f>($D9*dpsStr+$E9*dpsAgi+$G9*dpsCrit+$H9*dpsHit+$F9*dpsAP+$I9*dpsHaste+$J9*dpsArmor+$K9*dpsExp)+$W9-'Gear &amp; Buffs'!$AF$70</f>
        <v>-125.23218030867787</v>
      </c>
      <c r="Y9" s="891">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8">
        <v>6</v>
      </c>
      <c r="AB9" s="714" t="str">
        <f t="shared" si="0"/>
        <v>Drake Fang Talisman</v>
      </c>
      <c r="AD9" s="852" t="s">
        <v>1277</v>
      </c>
      <c r="AE9" s="855">
        <f>30/(1+BotSprocs/(1-EXP(-BotSprocs)))</f>
        <v>1.2710807867059044</v>
      </c>
      <c r="AF9" s="855">
        <f>(1-EXP(-$AH$5*BotSrate))^2</f>
        <v>0.99999999969442155</v>
      </c>
      <c r="AG9" s="855">
        <v>30</v>
      </c>
      <c r="AH9" s="855">
        <f>AF8-AF9</f>
        <v>1.5278922571582143E-10</v>
      </c>
      <c r="AI9" s="852">
        <v>2</v>
      </c>
    </row>
    <row r="10" spans="1:35"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7"/>
      <c r="X10" s="891">
        <f>($D10*dpsStr+$E10*dpsAgi+$G10*dpsCrit+$H10*dpsHit+$F10*dpsAP+$I10*dpsHaste+$J10*dpsArmor+$K10*dpsExp)+$W10-'Gear &amp; Buffs'!$AF$70</f>
        <v>-363.32146483190968</v>
      </c>
      <c r="Y10" s="891">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4</v>
      </c>
      <c r="AA10" s="738">
        <v>7</v>
      </c>
      <c r="AB10" s="714" t="str">
        <f t="shared" si="0"/>
        <v>Hand of Justice</v>
      </c>
      <c r="AD10" s="852" t="s">
        <v>1280</v>
      </c>
      <c r="AE10" s="855">
        <f>30/(1+BotSprocs/(1-EXP(-BotSprocs)))</f>
        <v>1.2710807867059044</v>
      </c>
      <c r="AF10" s="855">
        <f>(1-EXP(-$AH$5*BotSrate))^3</f>
        <v>0.99999999954163232</v>
      </c>
      <c r="AG10" s="855">
        <v>30</v>
      </c>
      <c r="AH10" s="855">
        <f>AF9-AF10</f>
        <v>1.5278922571582143E-10</v>
      </c>
      <c r="AI10" s="852">
        <v>3</v>
      </c>
    </row>
    <row r="11" spans="1:35"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7"/>
      <c r="X11" s="891">
        <f>($D11*dpsStr+$E11*dpsAgi+$G11*dpsCrit+$H11*dpsHit+$F11*dpsAP+$I11*dpsHaste+$J11*dpsArmor+$K11*dpsExp)+$W11-'Gear &amp; Buffs'!$AF$70</f>
        <v>-355.42440691358456</v>
      </c>
      <c r="Y11" s="891">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8">
        <v>8</v>
      </c>
      <c r="AB11" s="714" t="str">
        <f t="shared" si="0"/>
        <v>Hourglass of the Unraveller</v>
      </c>
      <c r="AD11" s="852" t="s">
        <v>1282</v>
      </c>
      <c r="AE11" s="855">
        <f>30/(1+BotSprocs/(1-EXP(-BotSprocs)))</f>
        <v>1.2710807867059044</v>
      </c>
      <c r="AF11" s="855">
        <f>(1-EXP(-$AH$5*BotSrate))^4</f>
        <v>0.9999999993888431</v>
      </c>
      <c r="AG11" s="855">
        <v>30</v>
      </c>
      <c r="AH11" s="855">
        <f>AF10-AF11</f>
        <v>1.5278922571582143E-10</v>
      </c>
      <c r="AI11" s="852">
        <v>4</v>
      </c>
    </row>
    <row r="12" spans="1:35"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7"/>
      <c r="X12" s="891">
        <f>($D12*dpsStr+$E12*dpsAgi+$G12*dpsCrit+$H12*dpsHit+$F12*dpsAP+$I12*dpsHaste+$J12*dpsArmor+$K12*dpsExp)+$W12-'Gear &amp; Buffs'!$AF$70</f>
        <v>-362.57100743068781</v>
      </c>
      <c r="Y12" s="891">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5</v>
      </c>
      <c r="AA12" s="738">
        <v>9</v>
      </c>
      <c r="AB12" s="714" t="str">
        <f t="shared" si="0"/>
        <v>Icon of Unyielding Courage</v>
      </c>
      <c r="AD12" s="852" t="s">
        <v>1284</v>
      </c>
      <c r="AE12" s="855">
        <f>30/(1+BotSprocs/(1-EXP(-BotSprocs)))</f>
        <v>1.2710807867059044</v>
      </c>
      <c r="AF12" s="855">
        <f>(1-EXP(-$AH$5*BotSrate))^5</f>
        <v>0.99999999923605387</v>
      </c>
      <c r="AG12" s="855">
        <v>30</v>
      </c>
      <c r="AH12" s="855">
        <f>AF11-AF12</f>
        <v>1.5278922571582143E-10</v>
      </c>
      <c r="AI12" s="852">
        <v>5</v>
      </c>
    </row>
    <row r="13" spans="1:35"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7"/>
      <c r="X13" s="891">
        <f>($D13*dpsStr+$E13*dpsAgi+$G13*dpsCrit+$H13*dpsHit+$F13*dpsAP+$I13*dpsHaste+$J13*dpsArmor+$K13*dpsExp)+$W13-'Gear &amp; Buffs'!$AF$70</f>
        <v>-381.15216877515627</v>
      </c>
      <c r="Y13" s="891">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8">
        <v>10</v>
      </c>
      <c r="AB13" s="714" t="str">
        <f t="shared" si="0"/>
        <v>Jom Gabbar</v>
      </c>
      <c r="AD13" s="852" t="s">
        <v>2858</v>
      </c>
      <c r="AE13" s="855">
        <f>MIN(AE12/EXP(-AH5*BotSrate),IF(time=0,30,MIN(30,time))-SUMPRODUCT(AE7:AE12,AF7:AF12))</f>
        <v>22.317277651175992</v>
      </c>
      <c r="AF13" s="855">
        <f>(1-EXP(-$AH$5*BotSrate))^6</f>
        <v>0.99999999908326465</v>
      </c>
      <c r="AG13" s="855">
        <v>0</v>
      </c>
      <c r="AH13" s="855">
        <v>0</v>
      </c>
      <c r="AI13" s="852">
        <v>6</v>
      </c>
    </row>
    <row r="14" spans="1:35" ht="12" customHeight="1">
      <c r="A14" s="126" t="s">
        <v>1657</v>
      </c>
      <c r="B14" s="116">
        <v>31856</v>
      </c>
      <c r="C14" s="116">
        <v>3</v>
      </c>
      <c r="D14" s="114"/>
      <c r="E14" s="114"/>
      <c r="F14" s="115">
        <f>itDMCCap</f>
        <v>118.4203190369889</v>
      </c>
      <c r="G14" s="116"/>
      <c r="H14" s="116"/>
      <c r="I14" s="115"/>
      <c r="J14" s="114"/>
      <c r="K14" s="116"/>
      <c r="L14" s="114"/>
      <c r="M14" s="116"/>
      <c r="N14" s="114"/>
      <c r="O14" s="116"/>
      <c r="P14" s="114"/>
      <c r="Q14" s="114"/>
      <c r="R14" s="114"/>
      <c r="S14" s="114" t="s">
        <v>675</v>
      </c>
      <c r="T14" s="10" t="s">
        <v>1295</v>
      </c>
      <c r="U14" s="114"/>
      <c r="V14" s="116" t="s">
        <v>1109</v>
      </c>
      <c r="W14" s="777"/>
      <c r="X14" s="891">
        <f>($D14*dpsStr+$E14*dpsAgi+$G14*dpsCrit+$H14*dpsHit+$F14*dpsAP+$I14*dpsHaste+$J14*dpsArmor+$K14*dpsExp)+$W14-'Gear &amp; Buffs'!$AF$70</f>
        <v>-338.83703311189242</v>
      </c>
      <c r="Y14" s="891">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8">
        <v>11</v>
      </c>
      <c r="AB14" s="714" t="str">
        <f t="shared" si="0"/>
        <v>Kiss of the Spider</v>
      </c>
      <c r="AD14" s="852"/>
      <c r="AE14" s="855">
        <f>SUMPRODUCT(AE7:AE13,AF7:AF13)</f>
        <v>29.999999979540959</v>
      </c>
      <c r="AF14" s="855"/>
      <c r="AG14" s="855">
        <f>SUMPRODUCT(AG7:AG13,AH7:AH13)</f>
        <v>2.2918383857373215E-8</v>
      </c>
      <c r="AH14" s="855"/>
      <c r="AI14" s="852"/>
    </row>
    <row r="15" spans="1:35" ht="12" customHeight="1">
      <c r="A15" s="130" t="s">
        <v>1658</v>
      </c>
      <c r="B15" s="116">
        <v>31857</v>
      </c>
      <c r="C15" s="116">
        <v>3</v>
      </c>
      <c r="D15" s="114"/>
      <c r="E15" s="114"/>
      <c r="F15" s="115"/>
      <c r="G15" s="116"/>
      <c r="H15" s="116"/>
      <c r="I15" s="115"/>
      <c r="J15" s="114"/>
      <c r="K15" s="116"/>
      <c r="L15" s="114"/>
      <c r="M15" s="116"/>
      <c r="N15" s="114"/>
      <c r="O15" s="116"/>
      <c r="P15" s="114"/>
      <c r="Q15" s="114"/>
      <c r="R15" s="114"/>
      <c r="S15" s="114" t="s">
        <v>675</v>
      </c>
      <c r="T15" s="10" t="s">
        <v>709</v>
      </c>
      <c r="U15" s="114"/>
      <c r="V15" s="116" t="s">
        <v>1109</v>
      </c>
      <c r="W15" s="777"/>
      <c r="X15" s="891">
        <f>($D15*dpsStr+$E15*dpsAgi+$G15*dpsCrit+$H15*dpsHit+$F15*dpsAP+$I15*dpsHaste+$J15*dpsArmor+$K15*dpsExp)+$W15-'Gear &amp; Buffs'!$AF$70</f>
        <v>-381.15216877515627</v>
      </c>
      <c r="Y15" s="891">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8">
        <v>12</v>
      </c>
      <c r="AB15" s="714" t="str">
        <f t="shared" si="0"/>
        <v>Mark of the Champion</v>
      </c>
      <c r="AD15" s="852"/>
      <c r="AE15" s="855">
        <f>SUMPRODUCT(AE7:AE13,AF7:AF13,AI7:AI13)</f>
        <v>152.96987757420888</v>
      </c>
      <c r="AF15" s="855"/>
      <c r="AG15" s="855">
        <f>SUMPRODUCT(AG7:AG13,AH7:AH13,AI7:AI13)</f>
        <v>6.8755151572119644E-8</v>
      </c>
      <c r="AH15" s="855"/>
      <c r="AI15" s="852"/>
    </row>
    <row r="16" spans="1:35" ht="12" customHeight="1">
      <c r="A16" s="10" t="s">
        <v>1938</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678</v>
      </c>
      <c r="T16" s="10" t="s">
        <v>272</v>
      </c>
      <c r="U16" s="114"/>
      <c r="V16" s="116" t="s">
        <v>1109</v>
      </c>
      <c r="W16" s="777"/>
      <c r="X16" s="891">
        <f>($D16*dpsStr+$E16*dpsAgi+$G16*dpsCrit+$H16*dpsHit+$F16*dpsAP+$I16*dpsHaste+$J16*dpsArmor+$K16*dpsExp)+$W16-'Gear &amp; Buffs'!$AF$70</f>
        <v>0</v>
      </c>
      <c r="Y16" s="891">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8">
        <v>13</v>
      </c>
      <c r="AB16" s="714" t="str">
        <f t="shared" si="0"/>
        <v>Ogre Mauler's Badge</v>
      </c>
      <c r="AD16" s="852"/>
      <c r="AE16" s="855"/>
      <c r="AF16" s="855">
        <f>(AE15+AG15)/(AE14+AG14)</f>
        <v>5.0989959210141285</v>
      </c>
      <c r="AG16" s="855"/>
      <c r="AH16" s="855"/>
      <c r="AI16" s="852"/>
    </row>
    <row r="17" spans="1:52"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7"/>
      <c r="X17" s="891">
        <f>($D17*dpsStr+$E17*dpsAgi+$G17*dpsCrit+$H17*dpsHit+$F17*dpsAP+$I17*dpsHaste+$J17*dpsArmor+$K17*dpsExp)+$W17-'Gear &amp; Buffs'!$AF$70</f>
        <v>-250.14105798472406</v>
      </c>
      <c r="Y17" s="891">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6</v>
      </c>
      <c r="AA17" s="738">
        <v>14</v>
      </c>
      <c r="AB17" s="714" t="str">
        <f t="shared" si="0"/>
        <v>Romulo's Poison Vial</v>
      </c>
      <c r="AD17" s="852" t="s">
        <v>2859</v>
      </c>
      <c r="AE17" s="855">
        <f>MAX(basearmor-(serrb*8*70/3+435*Weapons!$H$330+SUM('Gear &amp; Buffs'!Q10:Q69)+SUM('Gear &amp; Buffs'!Q80:Q142)+IF('Gear &amp; Buffs'!B70="Badge of the Swarmguard", 0, 'Gear &amp; Buffs'!Q70)+IF('Gear &amp; Buffs'!B71="Badge of the Swarmguard", 0, 'Gear &amp; Buffs'!Q71)),0)</f>
        <v>3675</v>
      </c>
      <c r="AF17" s="852"/>
      <c r="AG17" s="856"/>
      <c r="AH17" s="852"/>
      <c r="AI17" s="852"/>
    </row>
    <row r="18" spans="1:52"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8" t="s">
        <v>1345</v>
      </c>
      <c r="U18" s="114" t="s">
        <v>1346</v>
      </c>
      <c r="V18" s="116" t="s">
        <v>1109</v>
      </c>
      <c r="W18" s="777"/>
      <c r="X18" s="891">
        <f>($D18*dpsStr+$E18*dpsAgi+$G18*dpsCrit+$H18*dpsHit+$F18*dpsAP+$I18*dpsHaste+$J18*dpsArmor+$K18*dpsExp)+$W18-'Gear &amp; Buffs'!$AF$70</f>
        <v>-351.13644660332261</v>
      </c>
      <c r="Y18" s="891">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8">
        <v>15</v>
      </c>
      <c r="AB18" s="714" t="str">
        <f t="shared" si="0"/>
        <v>Seal of the Dawn</v>
      </c>
    </row>
    <row r="19" spans="1:52"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7"/>
      <c r="X19" s="891">
        <f>($D19*dpsStr+$E19*dpsAgi+$G19*dpsCrit+$H19*dpsHit+$F19*dpsAP+$I19*dpsHaste+$J19*dpsArmor+$K19*dpsExp)+$W19-'Gear &amp; Buffs'!$AF$70</f>
        <v>-361.85634737897749</v>
      </c>
      <c r="Y19" s="891">
        <f>($D19*dpsStr+$E19*dpsAgi+$G19*dpsCrit+$H19*dpsHit+$F19*dpsAP+$I19*dpsHaste+$J19*dpsArmor+$K19*dpsExp)+$W19-'Gear &amp; Buffs'!$AF$71</f>
        <v>-6.4319404653929269</v>
      </c>
      <c r="Z19" s="114" t="str">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
      </c>
      <c r="AA19" s="738">
        <v>16</v>
      </c>
      <c r="AB19" s="714" t="str">
        <f t="shared" si="0"/>
        <v>Slayer's Crest</v>
      </c>
    </row>
    <row r="20" spans="1:52"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7"/>
      <c r="X20" s="891">
        <f>($D20*dpsStr+$E20*dpsAgi+$G20*dpsCrit+$H20*dpsHit+$F20*dpsAP+$I20*dpsHaste+$J20*dpsArmor+$K20*dpsExp)+$W20-'Gear &amp; Buffs'!$AF$70</f>
        <v>-352.56576670674326</v>
      </c>
      <c r="Y20" s="891">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8">
        <v>17</v>
      </c>
      <c r="AB20" s="714" t="str">
        <f t="shared" si="0"/>
        <v>Terokkar Tablet of Precision</v>
      </c>
    </row>
    <row r="21" spans="1:52"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7"/>
      <c r="X21" s="891">
        <f>($D21*dpsStr+$E21*dpsAgi+$G21*dpsCrit+$H21*dpsHit+$F21*dpsAP+$I21*dpsHaste+$J21*dpsArmor+$K21*dpsExp)+$W21-'Gear &amp; Buffs'!$AF$70</f>
        <v>-374.00556825805302</v>
      </c>
      <c r="Y21" s="891">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7</v>
      </c>
      <c r="AA21" s="738">
        <v>18</v>
      </c>
      <c r="AB21" s="714" t="str">
        <f t="shared" si="0"/>
        <v>Uniting Charm</v>
      </c>
      <c r="AD21" s="797"/>
      <c r="AE21" s="1324" t="s">
        <v>1658</v>
      </c>
      <c r="AF21" s="797"/>
      <c r="AG21" s="797"/>
      <c r="AH21" s="797"/>
      <c r="AI21" s="797"/>
      <c r="AJ21" s="797"/>
      <c r="AK21" s="797"/>
      <c r="AL21" s="797"/>
      <c r="AM21" s="797"/>
      <c r="AN21" s="797"/>
      <c r="AO21" s="797"/>
      <c r="AP21" s="797"/>
      <c r="AQ21" s="797"/>
      <c r="AR21" s="797"/>
      <c r="AS21" s="797"/>
      <c r="AT21" s="797"/>
      <c r="AU21" s="797"/>
      <c r="AV21" s="797"/>
      <c r="AW21" s="797"/>
      <c r="AX21" s="797"/>
      <c r="AY21" s="797"/>
      <c r="AZ21" s="797"/>
    </row>
    <row r="22" spans="1:52" ht="12" customHeight="1">
      <c r="A22" s="10" t="s">
        <v>1720</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673</v>
      </c>
      <c r="T22" s="10" t="s">
        <v>784</v>
      </c>
      <c r="U22" s="114"/>
      <c r="V22" s="116" t="s">
        <v>1109</v>
      </c>
      <c r="W22" s="777"/>
      <c r="X22" s="891">
        <f>($D22*dpsStr+$E22*dpsAgi+$G22*dpsCrit+$H22*dpsHit+$F22*dpsAP+$I22*dpsHaste+$J22*dpsArmor+$K22*dpsExp)+$W22-'Gear &amp; Buffs'!$AF$70</f>
        <v>-343.55148433409096</v>
      </c>
      <c r="Y22" s="891">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8</v>
      </c>
      <c r="AA22" s="738">
        <v>19</v>
      </c>
      <c r="AB22" s="714" t="str">
        <f t="shared" si="0"/>
        <v>(Unmodeled)</v>
      </c>
      <c r="AD22" s="797"/>
      <c r="AE22" s="47">
        <v>0</v>
      </c>
      <c r="AF22" s="47">
        <v>1</v>
      </c>
      <c r="AG22" s="47">
        <v>2</v>
      </c>
      <c r="AH22" s="47">
        <v>3</v>
      </c>
      <c r="AI22" s="47">
        <v>4</v>
      </c>
      <c r="AJ22" s="47">
        <v>5</v>
      </c>
      <c r="AK22" s="47">
        <v>6</v>
      </c>
      <c r="AL22" s="47">
        <v>7</v>
      </c>
      <c r="AM22" s="47">
        <v>8</v>
      </c>
      <c r="AN22" s="47">
        <v>9</v>
      </c>
      <c r="AO22" s="47">
        <v>10</v>
      </c>
      <c r="AP22" s="47">
        <v>11</v>
      </c>
      <c r="AQ22" s="47">
        <v>12</v>
      </c>
      <c r="AR22" s="47">
        <v>13</v>
      </c>
      <c r="AS22" s="47">
        <v>14</v>
      </c>
      <c r="AT22" s="47">
        <v>15</v>
      </c>
      <c r="AU22" s="47">
        <v>16</v>
      </c>
      <c r="AV22" s="47">
        <v>17</v>
      </c>
      <c r="AW22" s="47">
        <v>18</v>
      </c>
      <c r="AX22" s="47">
        <v>19</v>
      </c>
      <c r="AY22" s="47">
        <v>20</v>
      </c>
      <c r="AZ22" s="47"/>
    </row>
    <row r="23" spans="1:52"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7"/>
      <c r="X23" s="891">
        <f>($D23*dpsStr+$E23*dpsAgi+$G23*dpsCrit+$H23*dpsHit+$F23*dpsAP+$I23*dpsHaste+$J23*dpsArmor+$K23*dpsExp)+$W23-'Gear &amp; Buffs'!$AF$70</f>
        <v>-214.65122476134161</v>
      </c>
      <c r="Y23" s="891">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9</v>
      </c>
      <c r="AA23" s="738">
        <v>20</v>
      </c>
      <c r="AB23" s="714" t="str">
        <f t="shared" si="0"/>
        <v>(Unmodeled 2)</v>
      </c>
      <c r="AD23" s="797"/>
      <c r="AE23" s="1319"/>
      <c r="AF23" s="1319">
        <f t="shared" ref="AF23:AY23" si="1">POWER((1-$AE$24),AF22)</f>
        <v>0.77888830774793893</v>
      </c>
      <c r="AG23" s="1319">
        <f t="shared" si="1"/>
        <v>0.60666699594644802</v>
      </c>
      <c r="AH23" s="1319">
        <f t="shared" si="1"/>
        <v>0.47252582983925462</v>
      </c>
      <c r="AI23" s="1319">
        <f t="shared" si="1"/>
        <v>0.3680448439706876</v>
      </c>
      <c r="AJ23" s="1319">
        <f t="shared" si="1"/>
        <v>0.28666582569568311</v>
      </c>
      <c r="AK23" s="1319">
        <f t="shared" si="1"/>
        <v>0.22328065986527623</v>
      </c>
      <c r="AL23" s="1319">
        <f t="shared" si="1"/>
        <v>0.17391069531530814</v>
      </c>
      <c r="AM23" s="1319">
        <f t="shared" si="1"/>
        <v>0.13545700717340778</v>
      </c>
      <c r="AN23" s="1319">
        <f t="shared" si="1"/>
        <v>0.105505879089896</v>
      </c>
      <c r="AO23" s="1319">
        <f t="shared" si="1"/>
        <v>8.2177295621787758E-2</v>
      </c>
      <c r="AP23" s="1319">
        <f t="shared" si="1"/>
        <v>6.4006934722156378E-2</v>
      </c>
      <c r="AQ23" s="1319">
        <f t="shared" si="1"/>
        <v>4.9854253069873178E-2</v>
      </c>
      <c r="AR23" s="1319">
        <f t="shared" si="1"/>
        <v>3.8830894807631008E-2</v>
      </c>
      <c r="AS23" s="1319">
        <f t="shared" si="1"/>
        <v>3.0244929945053945E-2</v>
      </c>
      <c r="AT23" s="1319">
        <f t="shared" si="1"/>
        <v>2.3557422302858028E-2</v>
      </c>
      <c r="AU23" s="1319">
        <f t="shared" si="1"/>
        <v>1.8348600792376647E-2</v>
      </c>
      <c r="AV23" s="1319">
        <f t="shared" si="1"/>
        <v>1.4291510620716737E-2</v>
      </c>
      <c r="AW23" s="1319">
        <f t="shared" si="1"/>
        <v>1.1131490522531757E-2</v>
      </c>
      <c r="AX23" s="1319">
        <f t="shared" si="1"/>
        <v>8.6701878158069803E-3</v>
      </c>
      <c r="AY23" s="1319">
        <f t="shared" si="1"/>
        <v>6.7531079157106978E-3</v>
      </c>
      <c r="AZ23" s="47"/>
    </row>
    <row r="24" spans="1:52"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7"/>
      <c r="X24" s="891">
        <f>($D24*dpsStr+$E24*dpsAgi+$G24*dpsCrit+$H24*dpsHit+$F24*dpsAP+$I24*dpsHaste+$J24*dpsArmor+$K24*dpsExp)+$W24-'Gear &amp; Buffs'!$AF$70</f>
        <v>-381.15216877515627</v>
      </c>
      <c r="Y24" s="891">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10</v>
      </c>
      <c r="AA24" s="738">
        <v>21</v>
      </c>
      <c r="AB24" s="714" t="str">
        <f t="shared" si="0"/>
        <v/>
      </c>
      <c r="AD24" s="797" t="s">
        <v>916</v>
      </c>
      <c r="AE24" s="1319">
        <f>(('Gear &amp; Buffs'!E143/agicrit+'Gear &amp; Buffs'!G143/crrate)/100)+(CharLevel-BossLevel)*bosscrit*5-IF(BossLevel*5-CharLevel*5&gt;10, 1.8%, 0)</f>
        <v>0.22111169225206101</v>
      </c>
      <c r="AF24" s="1319">
        <f t="shared" ref="AF24:AY24" si="2">AE24+17/crrate/100</f>
        <v>0.22881204068411676</v>
      </c>
      <c r="AG24" s="1319">
        <f t="shared" si="2"/>
        <v>0.23651238911617251</v>
      </c>
      <c r="AH24" s="1319">
        <f t="shared" si="2"/>
        <v>0.24421273754822825</v>
      </c>
      <c r="AI24" s="1319">
        <f t="shared" si="2"/>
        <v>0.251913085980284</v>
      </c>
      <c r="AJ24" s="1319">
        <f t="shared" si="2"/>
        <v>0.25961343441233975</v>
      </c>
      <c r="AK24" s="1319">
        <f t="shared" si="2"/>
        <v>0.2673137828443955</v>
      </c>
      <c r="AL24" s="1319">
        <f t="shared" si="2"/>
        <v>0.27501413127645125</v>
      </c>
      <c r="AM24" s="1319">
        <f t="shared" si="2"/>
        <v>0.28271447970850699</v>
      </c>
      <c r="AN24" s="1319">
        <f t="shared" si="2"/>
        <v>0.29041482814056274</v>
      </c>
      <c r="AO24" s="1319">
        <f t="shared" si="2"/>
        <v>0.29811517657261849</v>
      </c>
      <c r="AP24" s="1319">
        <f t="shared" si="2"/>
        <v>0.30581552500467424</v>
      </c>
      <c r="AQ24" s="1319">
        <f t="shared" si="2"/>
        <v>0.31351587343672999</v>
      </c>
      <c r="AR24" s="1319">
        <f t="shared" si="2"/>
        <v>0.32121622186878573</v>
      </c>
      <c r="AS24" s="1319">
        <f t="shared" si="2"/>
        <v>0.32891657030084148</v>
      </c>
      <c r="AT24" s="1319">
        <f t="shared" si="2"/>
        <v>0.33661691873289723</v>
      </c>
      <c r="AU24" s="1319">
        <f t="shared" si="2"/>
        <v>0.34431726716495298</v>
      </c>
      <c r="AV24" s="1319">
        <f t="shared" si="2"/>
        <v>0.35201761559700873</v>
      </c>
      <c r="AW24" s="1319">
        <f t="shared" si="2"/>
        <v>0.35971796402906447</v>
      </c>
      <c r="AX24" s="1319">
        <f t="shared" si="2"/>
        <v>0.36741831246112022</v>
      </c>
      <c r="AY24" s="1319">
        <f t="shared" si="2"/>
        <v>0.37511866089317597</v>
      </c>
      <c r="AZ24" s="47"/>
    </row>
    <row r="25" spans="1:52" ht="12" customHeight="1">
      <c r="A25" s="10" t="s">
        <v>132</v>
      </c>
      <c r="B25" s="116">
        <v>22954</v>
      </c>
      <c r="C25" s="116">
        <v>1</v>
      </c>
      <c r="D25" s="114"/>
      <c r="E25" s="114"/>
      <c r="F25" s="778"/>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7"/>
      <c r="X25" s="891">
        <f>($D25*dpsStr+$E25*dpsAgi+$G25*dpsCrit+$H25*dpsHit+$F25*dpsAP+$I25*dpsHaste+$J25*dpsArmor+$K25*dpsExp)+$W25-'Gear &amp; Buffs'!$AF$70</f>
        <v>-316.05070582675194</v>
      </c>
      <c r="Y25" s="891">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11</v>
      </c>
      <c r="AA25" s="738">
        <v>22</v>
      </c>
      <c r="AB25" s="714" t="str">
        <f t="shared" si="0"/>
        <v/>
      </c>
      <c r="AD25" s="797"/>
      <c r="AE25" s="1320">
        <f>1-AE24</f>
        <v>0.77888830774793893</v>
      </c>
      <c r="AF25" s="1320">
        <f t="shared" ref="AF25:AY25" si="3">AE25*(1-AF24)</f>
        <v>0.60066928458713464</v>
      </c>
      <c r="AG25" s="1320">
        <f t="shared" si="3"/>
        <v>0.4586035570207293</v>
      </c>
      <c r="AH25" s="1320">
        <f t="shared" si="3"/>
        <v>0.34660672691134203</v>
      </c>
      <c r="AI25" s="1320">
        <f t="shared" si="3"/>
        <v>0.2592919567135803</v>
      </c>
      <c r="AJ25" s="1320">
        <f t="shared" si="3"/>
        <v>0.19197628131567199</v>
      </c>
      <c r="AK25" s="1320">
        <f t="shared" si="3"/>
        <v>0.14065837534077988</v>
      </c>
      <c r="AL25" s="1320">
        <f t="shared" si="3"/>
        <v>0.10197533443967829</v>
      </c>
      <c r="AM25" s="1320">
        <f t="shared" si="3"/>
        <v>7.3145430820463639E-2</v>
      </c>
      <c r="AN25" s="1320">
        <f t="shared" si="3"/>
        <v>5.1902913099471273E-2</v>
      </c>
      <c r="AO25" s="1320">
        <f t="shared" si="3"/>
        <v>3.6429866996189122E-2</v>
      </c>
      <c r="AP25" s="1320">
        <f t="shared" si="3"/>
        <v>2.528904809489909E-2</v>
      </c>
      <c r="AQ25" s="1320">
        <f t="shared" si="3"/>
        <v>1.7360530093043329E-2</v>
      </c>
      <c r="AR25" s="1320">
        <f t="shared" si="3"/>
        <v>1.1784046206916591E-2</v>
      </c>
      <c r="AS25" s="1320">
        <f t="shared" si="3"/>
        <v>7.9080781442709466E-3</v>
      </c>
      <c r="AT25" s="1320">
        <f t="shared" si="3"/>
        <v>5.2460852462474922E-3</v>
      </c>
      <c r="AU25" s="1320">
        <f t="shared" si="3"/>
        <v>3.4397675109451762E-3</v>
      </c>
      <c r="AV25" s="1320">
        <f t="shared" si="3"/>
        <v>2.2289087535341976E-3</v>
      </c>
      <c r="AW25" s="1320">
        <f t="shared" si="3"/>
        <v>1.4271302347063164E-3</v>
      </c>
      <c r="AX25" s="1320">
        <f t="shared" si="3"/>
        <v>9.0277645220827917E-4</v>
      </c>
      <c r="AY25" s="1320">
        <f t="shared" si="3"/>
        <v>5.6412815837001719E-4</v>
      </c>
      <c r="AZ25" s="1320"/>
    </row>
    <row r="26" spans="1:52"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683</v>
      </c>
      <c r="T26" s="10" t="s">
        <v>137</v>
      </c>
      <c r="U26" s="114"/>
      <c r="V26" s="116" t="s">
        <v>1109</v>
      </c>
      <c r="W26" s="777"/>
      <c r="X26" s="891">
        <f>($D26*dpsStr+$E26*dpsAgi+$G26*dpsCrit+$H26*dpsHit+$F26*dpsAP+$I26*dpsHaste+$J26*dpsArmor+$K26*dpsExp)+$W26-'Gear &amp; Buffs'!$AF$70</f>
        <v>-219.55904441595072</v>
      </c>
      <c r="Y26" s="891">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8">
        <v>23</v>
      </c>
      <c r="AB26" s="714" t="str">
        <f t="shared" si="0"/>
        <v/>
      </c>
      <c r="AD26" s="797"/>
      <c r="AE26" s="47"/>
      <c r="AF26" s="1320">
        <f t="shared" ref="AF26:AY26" si="4">AE25*AF24</f>
        <v>0.17821902316080426</v>
      </c>
      <c r="AG26" s="1320">
        <f t="shared" si="4"/>
        <v>0.14206572756640534</v>
      </c>
      <c r="AH26" s="1320">
        <f t="shared" si="4"/>
        <v>0.1119968301093873</v>
      </c>
      <c r="AI26" s="1320">
        <f t="shared" si="4"/>
        <v>8.7314770197761724E-2</v>
      </c>
      <c r="AJ26" s="1320">
        <f t="shared" si="4"/>
        <v>6.7315675397908309E-2</v>
      </c>
      <c r="AK26" s="1320">
        <f t="shared" si="4"/>
        <v>5.1317905974892122E-2</v>
      </c>
      <c r="AL26" s="1320">
        <f t="shared" si="4"/>
        <v>3.8683040901101591E-2</v>
      </c>
      <c r="AM26" s="1320">
        <f t="shared" si="4"/>
        <v>2.8829903619214645E-2</v>
      </c>
      <c r="AN26" s="1320">
        <f t="shared" si="4"/>
        <v>2.1242517720992369E-2</v>
      </c>
      <c r="AO26" s="1320">
        <f t="shared" si="4"/>
        <v>1.5473046103282153E-2</v>
      </c>
      <c r="AP26" s="1320">
        <f t="shared" si="4"/>
        <v>1.1140818901290031E-2</v>
      </c>
      <c r="AQ26" s="1320">
        <f t="shared" si="4"/>
        <v>7.9285180018557611E-3</v>
      </c>
      <c r="AR26" s="1320">
        <f t="shared" si="4"/>
        <v>5.5764838861267372E-3</v>
      </c>
      <c r="AS26" s="1320">
        <f t="shared" si="4"/>
        <v>3.8759680626456452E-3</v>
      </c>
      <c r="AT26" s="1320">
        <f t="shared" si="4"/>
        <v>2.661992898023454E-3</v>
      </c>
      <c r="AU26" s="1320">
        <f t="shared" si="4"/>
        <v>1.806317735302316E-3</v>
      </c>
      <c r="AV26" s="1320">
        <f t="shared" si="4"/>
        <v>1.2108587574109785E-3</v>
      </c>
      <c r="AW26" s="1320">
        <f t="shared" si="4"/>
        <v>8.0177851882788143E-4</v>
      </c>
      <c r="AX26" s="1320">
        <f t="shared" si="4"/>
        <v>5.2435378249803726E-4</v>
      </c>
      <c r="AY26" s="1320">
        <f t="shared" si="4"/>
        <v>3.3864829383826198E-4</v>
      </c>
      <c r="AZ26" s="1320">
        <f>SUM(AF26:AY26)+AE24</f>
        <v>0.99943587184163007</v>
      </c>
    </row>
    <row r="27" spans="1:52"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7"/>
      <c r="X27" s="891">
        <f>($D27*dpsStr+$E27*dpsAgi+$G27*dpsCrit+$H27*dpsHit+$F27*dpsAP+$I27*dpsHaste+$J27*dpsArmor+$K27*dpsExp)+$W27-'Gear &amp; Buffs'!$AF$70</f>
        <v>-327.55266489688188</v>
      </c>
      <c r="Y27" s="891">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12</v>
      </c>
      <c r="AA27" s="738">
        <v>24</v>
      </c>
      <c r="AB27" s="714" t="str">
        <f t="shared" si="0"/>
        <v/>
      </c>
      <c r="AD27" s="797"/>
      <c r="AE27" s="778"/>
      <c r="AF27" s="778">
        <f t="shared" ref="AF27:AY27" si="5">17*AF22</f>
        <v>17</v>
      </c>
      <c r="AG27" s="778">
        <f t="shared" si="5"/>
        <v>34</v>
      </c>
      <c r="AH27" s="778">
        <f t="shared" si="5"/>
        <v>51</v>
      </c>
      <c r="AI27" s="778">
        <f t="shared" si="5"/>
        <v>68</v>
      </c>
      <c r="AJ27" s="778">
        <f t="shared" si="5"/>
        <v>85</v>
      </c>
      <c r="AK27" s="778">
        <f t="shared" si="5"/>
        <v>102</v>
      </c>
      <c r="AL27" s="778">
        <f t="shared" si="5"/>
        <v>119</v>
      </c>
      <c r="AM27" s="778">
        <f t="shared" si="5"/>
        <v>136</v>
      </c>
      <c r="AN27" s="778">
        <f t="shared" si="5"/>
        <v>153</v>
      </c>
      <c r="AO27" s="778">
        <f t="shared" si="5"/>
        <v>170</v>
      </c>
      <c r="AP27" s="778">
        <f t="shared" si="5"/>
        <v>187</v>
      </c>
      <c r="AQ27" s="778">
        <f t="shared" si="5"/>
        <v>204</v>
      </c>
      <c r="AR27" s="778">
        <f t="shared" si="5"/>
        <v>221</v>
      </c>
      <c r="AS27" s="778">
        <f t="shared" si="5"/>
        <v>238</v>
      </c>
      <c r="AT27" s="778">
        <f t="shared" si="5"/>
        <v>255</v>
      </c>
      <c r="AU27" s="778">
        <f t="shared" si="5"/>
        <v>272</v>
      </c>
      <c r="AV27" s="778">
        <f t="shared" si="5"/>
        <v>289</v>
      </c>
      <c r="AW27" s="778">
        <f t="shared" si="5"/>
        <v>306</v>
      </c>
      <c r="AX27" s="778">
        <f t="shared" si="5"/>
        <v>323</v>
      </c>
      <c r="AY27" s="778">
        <f t="shared" si="5"/>
        <v>340</v>
      </c>
      <c r="AZ27" s="1321"/>
    </row>
    <row r="28" spans="1:52"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7"/>
      <c r="X28" s="891">
        <f>($D28*dpsStr+$E28*dpsAgi+$G28*dpsCrit+$H28*dpsHit+$F28*dpsAP+$I28*dpsHaste+$J28*dpsArmor+$K28*dpsExp)+$W28-'Gear &amp; Buffs'!$AF$70</f>
        <v>-364.00032753410846</v>
      </c>
      <c r="Y28" s="891">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13</v>
      </c>
      <c r="AA28" s="738">
        <v>25</v>
      </c>
      <c r="AB28" s="714" t="str">
        <f t="shared" si="0"/>
        <v/>
      </c>
      <c r="AD28" s="797" t="s">
        <v>917</v>
      </c>
      <c r="AE28" s="1322">
        <f>SUM(AF28:AY28)</f>
        <v>52.775681323559951</v>
      </c>
      <c r="AF28" s="1323">
        <f t="shared" ref="AF28:AY28" si="6">AF27*AF26</f>
        <v>3.0297233937336725</v>
      </c>
      <c r="AG28" s="1323">
        <f t="shared" si="6"/>
        <v>4.8302347372577819</v>
      </c>
      <c r="AH28" s="1323">
        <f t="shared" si="6"/>
        <v>5.7118383355787525</v>
      </c>
      <c r="AI28" s="1323">
        <f t="shared" si="6"/>
        <v>5.937404373447797</v>
      </c>
      <c r="AJ28" s="1323">
        <f t="shared" si="6"/>
        <v>5.7218324088222063</v>
      </c>
      <c r="AK28" s="1323">
        <f t="shared" si="6"/>
        <v>5.2344264094389965</v>
      </c>
      <c r="AL28" s="1323">
        <f t="shared" si="6"/>
        <v>4.6032818672310896</v>
      </c>
      <c r="AM28" s="1323">
        <f t="shared" si="6"/>
        <v>3.920866892213192</v>
      </c>
      <c r="AN28" s="1323">
        <f t="shared" si="6"/>
        <v>3.2501052113118325</v>
      </c>
      <c r="AO28" s="1323">
        <f t="shared" si="6"/>
        <v>2.6304178375579661</v>
      </c>
      <c r="AP28" s="1323">
        <f t="shared" si="6"/>
        <v>2.0833331345412356</v>
      </c>
      <c r="AQ28" s="1323">
        <f t="shared" si="6"/>
        <v>1.6174176723785751</v>
      </c>
      <c r="AR28" s="1323">
        <f t="shared" si="6"/>
        <v>1.232402938834009</v>
      </c>
      <c r="AS28" s="1323">
        <f t="shared" si="6"/>
        <v>0.9224803989096636</v>
      </c>
      <c r="AT28" s="1323">
        <f t="shared" si="6"/>
        <v>0.67880818899598072</v>
      </c>
      <c r="AU28" s="1323">
        <f t="shared" si="6"/>
        <v>0.49131842400222997</v>
      </c>
      <c r="AV28" s="1323">
        <f t="shared" si="6"/>
        <v>0.34993818089177281</v>
      </c>
      <c r="AW28" s="1323">
        <f t="shared" si="6"/>
        <v>0.24534422676133172</v>
      </c>
      <c r="AX28" s="1323">
        <f t="shared" si="6"/>
        <v>0.16936627174686603</v>
      </c>
      <c r="AY28" s="1323">
        <f t="shared" si="6"/>
        <v>0.11514041990500908</v>
      </c>
      <c r="AZ28" s="47"/>
    </row>
    <row r="29" spans="1:52" ht="12" customHeight="1">
      <c r="A29" s="47" t="s">
        <v>138</v>
      </c>
      <c r="B29" s="116">
        <v>28579</v>
      </c>
      <c r="C29" s="116">
        <v>1</v>
      </c>
      <c r="D29" s="47"/>
      <c r="E29" s="47"/>
      <c r="F29" s="778"/>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13.623573813994003</v>
      </c>
      <c r="X29" s="891">
        <f>($D29*dpsStr+$E29*dpsAgi+$G29*dpsCrit+$H29*dpsHit+$F29*dpsAP+$I29*dpsHaste+$J29*dpsArmor+$K29*dpsExp)+$W29-'Gear &amp; Buffs'!$AF$70</f>
        <v>-173.27749361171183</v>
      </c>
      <c r="Y29" s="891">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14</v>
      </c>
      <c r="AA29" s="738">
        <v>26</v>
      </c>
      <c r="AB29" s="714" t="str">
        <f t="shared" si="0"/>
        <v/>
      </c>
      <c r="AD29" s="797" t="s">
        <v>918</v>
      </c>
      <c r="AE29" s="797">
        <f>IF(OR(trinket1="Darkmoon Card: Wrath",trinket2="Darkmoon Card: Wrath"),AE28/crrate/100,0)</f>
        <v>0</v>
      </c>
      <c r="AF29" s="797"/>
      <c r="AG29" s="797"/>
      <c r="AH29" s="797"/>
      <c r="AI29" s="797"/>
      <c r="AJ29" s="797"/>
      <c r="AK29" s="797"/>
      <c r="AL29" s="797"/>
      <c r="AM29" s="797"/>
      <c r="AN29" s="797"/>
      <c r="AO29" s="797"/>
      <c r="AP29" s="797"/>
      <c r="AQ29" s="797"/>
      <c r="AR29" s="797"/>
      <c r="AS29" s="797"/>
      <c r="AT29" s="797"/>
      <c r="AU29" s="797"/>
      <c r="AV29" s="797"/>
      <c r="AW29" s="797"/>
      <c r="AX29" s="797"/>
      <c r="AY29" s="797"/>
      <c r="AZ29" s="797"/>
    </row>
    <row r="30" spans="1:52"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7"/>
      <c r="X30" s="891">
        <f>($D30*dpsStr+$E30*dpsAgi+$G30*dpsCrit+$H30*dpsHit+$F30*dpsAP+$I30*dpsHaste+$J30*dpsArmor+$K30*dpsExp)+$W30-'Gear &amp; Buffs'!$AF$70</f>
        <v>-352.2084366808881</v>
      </c>
      <c r="Y30" s="891">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15</v>
      </c>
      <c r="AA30" s="738">
        <v>27</v>
      </c>
      <c r="AB30" s="714" t="str">
        <f t="shared" si="0"/>
        <v/>
      </c>
    </row>
    <row r="31" spans="1:52" ht="12" customHeight="1">
      <c r="A31" s="10" t="s">
        <v>991</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691</v>
      </c>
      <c r="T31" s="10"/>
      <c r="U31" s="114"/>
      <c r="V31" s="116" t="s">
        <v>1109</v>
      </c>
      <c r="W31" s="777"/>
      <c r="X31" s="891">
        <f>($D31*dpsStr+$E31*dpsAgi+$G31*dpsCrit+$H31*dpsHit+$F31*dpsAP+$I31*dpsHaste+$J31*dpsArmor+$K31*dpsExp)+$W31-'Gear &amp; Buffs'!$AF$70</f>
        <v>-296.0398184132589</v>
      </c>
      <c r="Y31" s="891">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8">
        <v>28</v>
      </c>
      <c r="AB31" s="714" t="str">
        <f t="shared" si="0"/>
        <v/>
      </c>
    </row>
    <row r="32" spans="1:52"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7"/>
      <c r="X32" s="891">
        <f>($D32*dpsStr+$E32*dpsAgi+$G32*dpsCrit+$H32*dpsHit+$F32*dpsAP+$I32*dpsHaste+$J32*dpsArmor+$K32*dpsExp)+$W32-'Gear &amp; Buffs'!$AF$70</f>
        <v>-358.28304712042586</v>
      </c>
      <c r="Y32" s="891">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16</v>
      </c>
      <c r="AA32" s="738">
        <v>29</v>
      </c>
      <c r="AB32" s="714" t="str">
        <f t="shared" si="0"/>
        <v/>
      </c>
      <c r="AE32" s="337" t="s">
        <v>990</v>
      </c>
      <c r="AF32" s="6"/>
    </row>
    <row r="33" spans="1:52"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7"/>
      <c r="X33" s="891">
        <f>($D33*dpsStr+$E33*dpsAgi+$G33*dpsCrit+$H33*dpsHit+$F33*dpsAP+$I33*dpsHaste+$J33*dpsArmor+$K33*dpsExp)+$W33-'Gear &amp; Buffs'!$AF$70</f>
        <v>-317.50722087336612</v>
      </c>
      <c r="Y33" s="891">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8">
        <v>30</v>
      </c>
      <c r="AB33" s="714" t="str">
        <f t="shared" si="0"/>
        <v/>
      </c>
      <c r="AE33" s="6">
        <v>1</v>
      </c>
      <c r="AF33" s="6">
        <f>'Damage Calc'!J47/'Damage Calc'!H47</f>
        <v>0.41570551658187188</v>
      </c>
    </row>
    <row r="34" spans="1:52"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7"/>
      <c r="X34" s="891">
        <f>($D34*dpsStr+$E34*dpsAgi+$G34*dpsCrit+$H34*dpsHit+$F34*dpsAP+$I34*dpsHaste+$J34*dpsArmor+$K34*dpsExp)+$W34-'Gear &amp; Buffs'!$AF$70</f>
        <v>-259.05147649835885</v>
      </c>
      <c r="Y34" s="891">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17</v>
      </c>
      <c r="AA34" s="738">
        <v>31</v>
      </c>
      <c r="AB34" s="714" t="str">
        <f t="shared" si="0"/>
        <v/>
      </c>
      <c r="AE34" s="6">
        <v>2</v>
      </c>
      <c r="AF34" s="6">
        <f t="shared" ref="AF34:AF41" si="7">AF33</f>
        <v>0.41570551658187188</v>
      </c>
    </row>
    <row r="35" spans="1:52"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667</v>
      </c>
      <c r="T35" s="10" t="s">
        <v>143</v>
      </c>
      <c r="U35" s="114"/>
      <c r="V35" s="116" t="s">
        <v>1109</v>
      </c>
      <c r="W35" s="777"/>
      <c r="X35" s="891">
        <f>($D35*dpsStr+$E35*dpsAgi+$G35*dpsCrit+$H35*dpsHit+$F35*dpsAP+$I35*dpsHaste+$J35*dpsArmor+$K35*dpsExp)+$W35-'Gear &amp; Buffs'!$AF$70</f>
        <v>-280.45142913659242</v>
      </c>
      <c r="Y35" s="891">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8">
        <v>32</v>
      </c>
      <c r="AB35" s="714" t="str">
        <f t="shared" si="0"/>
        <v/>
      </c>
      <c r="AE35" s="6">
        <v>3</v>
      </c>
      <c r="AF35" s="6">
        <f t="shared" si="7"/>
        <v>0.41570551658187188</v>
      </c>
    </row>
    <row r="36" spans="1:52"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7"/>
      <c r="X36" s="891">
        <f>($D36*dpsStr+$E36*dpsAgi+$G36*dpsCrit+$H36*dpsHit+$F36*dpsAP+$I36*dpsHaste+$J36*dpsArmor+$K36*dpsExp)+$W36-'Gear &amp; Buffs'!$AF$70</f>
        <v>-364.00032753410846</v>
      </c>
      <c r="Y36" s="891">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18</v>
      </c>
      <c r="AA36" s="738">
        <v>33</v>
      </c>
      <c r="AB36" s="714" t="str">
        <f t="shared" si="0"/>
        <v/>
      </c>
      <c r="AE36" s="6">
        <v>4</v>
      </c>
      <c r="AF36" s="6">
        <f t="shared" si="7"/>
        <v>0.41570551658187188</v>
      </c>
    </row>
    <row r="37" spans="1:52" ht="12" customHeight="1">
      <c r="A37" s="126" t="s">
        <v>1940</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680</v>
      </c>
      <c r="T37" s="10" t="s">
        <v>743</v>
      </c>
      <c r="U37" s="114"/>
      <c r="V37" s="116" t="s">
        <v>1109</v>
      </c>
      <c r="W37" s="777"/>
      <c r="X37" s="891">
        <f>($D37*dpsStr+$E37*dpsAgi+$G37*dpsCrit+$H37*dpsHit+$F37*dpsAP+$I37*dpsHaste+$J37*dpsArmor+$K37*dpsExp)+$W37-'Gear &amp; Buffs'!$AF$70</f>
        <v>-219.32626321036039</v>
      </c>
      <c r="Y37" s="891">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8">
        <v>34</v>
      </c>
      <c r="AB37" s="714" t="str">
        <f t="shared" si="0"/>
        <v/>
      </c>
      <c r="AE37" s="6">
        <v>5</v>
      </c>
      <c r="AF37" s="6">
        <f t="shared" si="7"/>
        <v>0.41570551658187188</v>
      </c>
    </row>
    <row r="38" spans="1:52"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20">
        <f>'Gear &amp; Buffs'!$S$168</f>
        <v>0</v>
      </c>
      <c r="S38" s="114"/>
      <c r="T38" s="10"/>
      <c r="U38" s="114"/>
      <c r="V38" s="116" t="s">
        <v>1109</v>
      </c>
      <c r="W38" s="114"/>
      <c r="X38" s="891">
        <f>($D38*dpsStr+$E38*dpsAgi+$G38*dpsCrit+$H38*dpsHit+$F38*dpsAP+$I38*dpsHaste+$J38*dpsArmor+$K38*dpsExp)+$W38-'Gear &amp; Buffs'!$AF$70</f>
        <v>-381.15216877515627</v>
      </c>
      <c r="Y38" s="891">
        <f>($D38*dpsStr+$E38*dpsAgi+$G38*dpsCrit+$H38*dpsHit+$F38*dpsAP+$I38*dpsHaste+$J38*dpsArmor+$K38*dpsExp)+$W38-'Gear &amp; Buffs'!$AF$71</f>
        <v>-25.727761861571707</v>
      </c>
      <c r="Z38" s="114">
        <f>MAX($Z$1:$Z37)+1</f>
        <v>19</v>
      </c>
      <c r="AA38" s="738">
        <v>35</v>
      </c>
      <c r="AB38" s="714" t="str">
        <f t="shared" si="0"/>
        <v/>
      </c>
      <c r="AE38" s="6">
        <v>6</v>
      </c>
      <c r="AF38" s="6">
        <f t="shared" si="7"/>
        <v>0.41570551658187188</v>
      </c>
    </row>
    <row r="39" spans="1:52"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20">
        <f>'Gear &amp; Buffs'!$S$169</f>
        <v>0</v>
      </c>
      <c r="S39" s="114"/>
      <c r="T39" s="10"/>
      <c r="U39" s="114"/>
      <c r="V39" s="116" t="s">
        <v>1109</v>
      </c>
      <c r="W39" s="114"/>
      <c r="X39" s="891">
        <f>($D39*dpsStr+$E39*dpsAgi+$G39*dpsCrit+$H39*dpsHit+$F39*dpsAP+$I39*dpsHaste+$J39*dpsArmor+$K39*dpsExp)+$W39-'Gear &amp; Buffs'!$AF$70</f>
        <v>-381.15216877515627</v>
      </c>
      <c r="Y39" s="891">
        <f>($D39*dpsStr+$E39*dpsAgi+$G39*dpsCrit+$H39*dpsHit+$F39*dpsAP+$I39*dpsHaste+$J39*dpsArmor+$K39*dpsExp)+$W39-'Gear &amp; Buffs'!$AF$71</f>
        <v>-25.727761861571707</v>
      </c>
      <c r="Z39" s="114">
        <f>MAX($Z$1:$Z38)+1</f>
        <v>20</v>
      </c>
      <c r="AA39" s="738">
        <v>36</v>
      </c>
      <c r="AB39" s="714" t="str">
        <f t="shared" si="0"/>
        <v/>
      </c>
      <c r="AE39" s="6">
        <v>7</v>
      </c>
      <c r="AF39" s="6">
        <f t="shared" si="7"/>
        <v>0.41570551658187188</v>
      </c>
    </row>
    <row r="40" spans="1:52"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1"/>
      <c r="Y40" s="891"/>
      <c r="Z40" s="114"/>
      <c r="AA40" s="738">
        <v>37</v>
      </c>
      <c r="AB40" s="714" t="str">
        <f t="shared" si="0"/>
        <v/>
      </c>
      <c r="AE40" s="6">
        <v>8</v>
      </c>
      <c r="AF40" s="6">
        <f t="shared" si="7"/>
        <v>0.41570551658187188</v>
      </c>
    </row>
    <row r="41" spans="1:52"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E41" s="6">
        <v>9</v>
      </c>
      <c r="AF41" s="6">
        <f t="shared" si="7"/>
        <v>0.41570551658187188</v>
      </c>
    </row>
    <row r="42" spans="1:52"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E42" s="6">
        <v>10</v>
      </c>
      <c r="AF42" s="6">
        <f>20-SUM(AF33:AF41)</f>
        <v>16.258650350763155</v>
      </c>
    </row>
    <row r="43" spans="1:52"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E43" s="6"/>
      <c r="AF43" s="6">
        <f>SUMPRODUCT(AE33:AE42,AF33:AF42)/20*44</f>
        <v>398.84515385839478</v>
      </c>
    </row>
    <row r="44" spans="1:52" ht="12" customHeight="1">
      <c r="A44" s="248" t="s">
        <v>3125</v>
      </c>
      <c r="B44" s="235"/>
      <c r="C44" s="235"/>
      <c r="D44" s="246"/>
      <c r="E44" s="246"/>
      <c r="F44" s="246"/>
      <c r="G44" s="246"/>
      <c r="H44" s="246"/>
      <c r="I44" s="235"/>
      <c r="J44" s="219"/>
      <c r="K44" s="235"/>
      <c r="L44" s="246"/>
      <c r="M44" s="246"/>
      <c r="N44" s="235"/>
      <c r="O44" s="235"/>
      <c r="P44" s="219"/>
      <c r="Q44" s="219"/>
      <c r="R44" s="219"/>
      <c r="S44" s="237"/>
      <c r="T44" s="850"/>
      <c r="V44" s="124"/>
    </row>
    <row r="45" spans="1:52" ht="12" customHeight="1">
      <c r="A45" s="238" t="s">
        <v>3126</v>
      </c>
      <c r="B45" s="235"/>
      <c r="C45" s="235"/>
      <c r="D45" s="247"/>
      <c r="E45" s="247"/>
      <c r="F45" s="247"/>
      <c r="G45" s="247"/>
      <c r="H45" s="247"/>
      <c r="I45" s="235"/>
      <c r="J45" s="219"/>
      <c r="K45" s="235"/>
      <c r="L45" s="247"/>
      <c r="M45" s="247"/>
      <c r="N45" s="235"/>
      <c r="O45" s="235"/>
      <c r="P45" s="219"/>
      <c r="Q45" s="219"/>
      <c r="R45" s="219"/>
      <c r="S45" s="237"/>
      <c r="T45" s="850"/>
      <c r="V45" s="124"/>
    </row>
    <row r="46" spans="1:52" ht="12" customHeight="1">
      <c r="A46" s="129"/>
      <c r="B46" s="124"/>
      <c r="C46" s="129"/>
      <c r="D46" s="129"/>
      <c r="E46" s="129"/>
      <c r="S46" s="48"/>
      <c r="T46" s="851"/>
      <c r="V46" s="124"/>
      <c r="AB46" s="208"/>
      <c r="AE46" s="1324" t="s">
        <v>1657</v>
      </c>
      <c r="AI46" s="128"/>
    </row>
    <row r="47" spans="1:52" ht="12" customHeight="1">
      <c r="A47" s="129"/>
      <c r="B47" s="124"/>
      <c r="C47" s="129"/>
      <c r="D47" s="129"/>
      <c r="E47" s="129"/>
      <c r="S47" s="48"/>
      <c r="T47" s="851"/>
      <c r="U47" s="137"/>
      <c r="V47" s="249"/>
      <c r="W47" s="137"/>
      <c r="X47" s="137"/>
      <c r="Y47" s="137"/>
      <c r="Z47" s="137"/>
      <c r="AE47" s="47">
        <v>0</v>
      </c>
      <c r="AF47" s="47">
        <v>1</v>
      </c>
      <c r="AG47" s="47">
        <v>2</v>
      </c>
      <c r="AH47" s="47">
        <v>3</v>
      </c>
      <c r="AI47" s="47">
        <v>4</v>
      </c>
      <c r="AJ47" s="47">
        <v>5</v>
      </c>
      <c r="AK47" s="47">
        <v>6</v>
      </c>
      <c r="AL47" s="47">
        <v>7</v>
      </c>
      <c r="AM47" s="47">
        <v>8</v>
      </c>
      <c r="AN47" s="47">
        <v>9</v>
      </c>
      <c r="AO47" s="47">
        <v>10</v>
      </c>
      <c r="AP47" s="47">
        <v>11</v>
      </c>
      <c r="AQ47" s="47">
        <v>12</v>
      </c>
      <c r="AR47" s="47">
        <v>13</v>
      </c>
      <c r="AS47" s="47">
        <v>14</v>
      </c>
      <c r="AT47" s="47">
        <v>15</v>
      </c>
      <c r="AU47" s="47">
        <v>16</v>
      </c>
      <c r="AV47" s="47">
        <v>17</v>
      </c>
      <c r="AW47" s="47">
        <v>18</v>
      </c>
      <c r="AX47" s="47">
        <v>19</v>
      </c>
      <c r="AY47" s="47">
        <v>20</v>
      </c>
      <c r="AZ47" s="48" t="s">
        <v>1895</v>
      </c>
    </row>
    <row r="48" spans="1:52" ht="12" customHeight="1">
      <c r="A48" s="129"/>
      <c r="B48" s="124"/>
      <c r="C48" s="129"/>
      <c r="D48" s="129"/>
      <c r="E48" s="129"/>
      <c r="S48" s="48"/>
      <c r="T48" s="851"/>
      <c r="U48" s="48"/>
      <c r="W48" s="48"/>
      <c r="X48" s="48"/>
      <c r="Y48" s="48"/>
      <c r="AE48" s="48">
        <v>0</v>
      </c>
      <c r="AF48" s="48">
        <f>IF(time=0, 0, 'Damage Calc'!J47/'Damage Calc'!H47/time)</f>
        <v>1.3856850552729063E-3</v>
      </c>
      <c r="AG48" s="48">
        <f t="shared" ref="AG48:AX48" si="8">IF(time=0, 0, AF48)</f>
        <v>1.3856850552729063E-3</v>
      </c>
      <c r="AH48" s="48">
        <f t="shared" si="8"/>
        <v>1.3856850552729063E-3</v>
      </c>
      <c r="AI48" s="48">
        <f t="shared" si="8"/>
        <v>1.3856850552729063E-3</v>
      </c>
      <c r="AJ48" s="48">
        <f t="shared" si="8"/>
        <v>1.3856850552729063E-3</v>
      </c>
      <c r="AK48" s="48">
        <f t="shared" si="8"/>
        <v>1.3856850552729063E-3</v>
      </c>
      <c r="AL48" s="48">
        <f t="shared" si="8"/>
        <v>1.3856850552729063E-3</v>
      </c>
      <c r="AM48" s="48">
        <f t="shared" si="8"/>
        <v>1.3856850552729063E-3</v>
      </c>
      <c r="AN48" s="48">
        <f t="shared" si="8"/>
        <v>1.3856850552729063E-3</v>
      </c>
      <c r="AO48" s="48">
        <f t="shared" si="8"/>
        <v>1.3856850552729063E-3</v>
      </c>
      <c r="AP48" s="48">
        <f t="shared" si="8"/>
        <v>1.3856850552729063E-3</v>
      </c>
      <c r="AQ48" s="48">
        <f t="shared" si="8"/>
        <v>1.3856850552729063E-3</v>
      </c>
      <c r="AR48" s="48">
        <f t="shared" si="8"/>
        <v>1.3856850552729063E-3</v>
      </c>
      <c r="AS48" s="48">
        <f t="shared" si="8"/>
        <v>1.3856850552729063E-3</v>
      </c>
      <c r="AT48" s="48">
        <f t="shared" si="8"/>
        <v>1.3856850552729063E-3</v>
      </c>
      <c r="AU48" s="48">
        <f t="shared" si="8"/>
        <v>1.3856850552729063E-3</v>
      </c>
      <c r="AV48" s="48">
        <f t="shared" si="8"/>
        <v>1.3856850552729063E-3</v>
      </c>
      <c r="AW48" s="48">
        <f t="shared" si="8"/>
        <v>1.3856850552729063E-3</v>
      </c>
      <c r="AX48" s="48">
        <f t="shared" si="8"/>
        <v>1.3856850552729063E-3</v>
      </c>
      <c r="AY48" s="48">
        <f>1-SUM(AE48:AX48)</f>
        <v>0.9736719839498148</v>
      </c>
      <c r="AZ48" s="48">
        <f>SUMPRODUCT(AE47:AY47,AE48:AY48)*6</f>
        <v>118.4203190369889</v>
      </c>
    </row>
    <row r="49" spans="1:25" ht="12" customHeight="1">
      <c r="A49" s="129"/>
      <c r="B49" s="124"/>
      <c r="C49" s="129"/>
      <c r="D49" s="129"/>
      <c r="E49" s="129"/>
      <c r="S49" s="48"/>
      <c r="T49" s="851"/>
      <c r="U49" s="48"/>
      <c r="W49" s="48"/>
      <c r="X49" s="48"/>
      <c r="Y49" s="48"/>
    </row>
    <row r="50" spans="1:25" ht="12" customHeight="1">
      <c r="A50" s="129"/>
      <c r="B50" s="124"/>
      <c r="C50" s="129"/>
      <c r="D50" s="129"/>
      <c r="E50" s="129"/>
      <c r="S50" s="48"/>
      <c r="T50" s="851"/>
      <c r="U50" s="48"/>
      <c r="W50" s="48"/>
      <c r="X50" s="48"/>
      <c r="Y50" s="48"/>
    </row>
    <row r="51" spans="1:25" ht="12" customHeight="1">
      <c r="A51" s="129"/>
      <c r="B51" s="124"/>
      <c r="C51" s="129"/>
      <c r="D51" s="129"/>
      <c r="E51" s="129"/>
      <c r="S51" s="48"/>
      <c r="T51" s="851"/>
      <c r="U51" s="48"/>
      <c r="W51" s="48"/>
      <c r="X51" s="48"/>
      <c r="Y51" s="48"/>
    </row>
    <row r="52" spans="1:25" ht="12" customHeight="1">
      <c r="A52" s="129"/>
      <c r="B52" s="124"/>
      <c r="C52" s="129"/>
      <c r="D52" s="129"/>
      <c r="E52" s="129"/>
      <c r="S52" s="48"/>
      <c r="T52" s="851"/>
      <c r="U52" s="48"/>
      <c r="W52" s="48"/>
      <c r="X52" s="48"/>
      <c r="Y52" s="48"/>
    </row>
    <row r="53" spans="1:25" ht="12" customHeight="1">
      <c r="A53" s="129"/>
      <c r="B53" s="124"/>
      <c r="C53" s="129"/>
      <c r="D53" s="129"/>
      <c r="E53" s="129"/>
      <c r="S53" s="48"/>
      <c r="T53" s="851"/>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X139"/>
  <sheetViews>
    <sheetView topLeftCell="A4" zoomScaleNormal="100" workbookViewId="0">
      <selection activeCell="H28" sqref="H28"/>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4" s="129" customFormat="1" ht="23.25" thickBot="1">
      <c r="A1" s="779" t="s">
        <v>164</v>
      </c>
      <c r="B1" s="779" t="s">
        <v>1934</v>
      </c>
      <c r="C1" s="704" t="s">
        <v>2798</v>
      </c>
      <c r="D1" s="779" t="s">
        <v>1214</v>
      </c>
      <c r="E1" s="779" t="s">
        <v>1215</v>
      </c>
      <c r="F1" s="779" t="s">
        <v>768</v>
      </c>
      <c r="G1" s="779" t="s">
        <v>2140</v>
      </c>
      <c r="H1" s="779" t="s">
        <v>2139</v>
      </c>
      <c r="I1" s="779" t="s">
        <v>771</v>
      </c>
      <c r="J1" s="779" t="s">
        <v>1219</v>
      </c>
      <c r="K1" s="779" t="s">
        <v>760</v>
      </c>
      <c r="L1" s="779" t="s">
        <v>1216</v>
      </c>
      <c r="M1" s="779" t="s">
        <v>264</v>
      </c>
      <c r="N1" s="779" t="s">
        <v>1217</v>
      </c>
      <c r="O1" s="779" t="s">
        <v>1287</v>
      </c>
      <c r="P1" s="779"/>
      <c r="Q1" s="779" t="s">
        <v>1032</v>
      </c>
      <c r="R1" s="779" t="s">
        <v>1941</v>
      </c>
      <c r="S1" s="779" t="s">
        <v>666</v>
      </c>
      <c r="T1" s="779" t="s">
        <v>265</v>
      </c>
      <c r="U1" s="779"/>
      <c r="V1" s="704">
        <v>0</v>
      </c>
      <c r="W1" s="704"/>
      <c r="X1" s="779" t="s">
        <v>2208</v>
      </c>
    </row>
    <row r="2" spans="1:24">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8">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50" t="s">
        <v>48</v>
      </c>
      <c r="V2" s="870">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8"/>
      <c r="X2" s="714" t="s">
        <v>1689</v>
      </c>
    </row>
    <row r="3" spans="1:24">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50" t="s">
        <v>46</v>
      </c>
      <c r="V3" s="870">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8"/>
      <c r="X3" s="714" t="str">
        <f>" "</f>
        <v xml:space="preserve"> </v>
      </c>
    </row>
    <row r="4" spans="1:24">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50" t="s">
        <v>44</v>
      </c>
      <c r="V4" s="870"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8">
        <v>1</v>
      </c>
      <c r="X4" s="714" t="str">
        <f>IF(ISNA(INDEX($A$2:$A$51,MATCH(W4,V$2:V$51,0))), "", INDEX($A$2:$A$51,MATCH(W4,V$2:V$51,0)))</f>
        <v>Adamantine Repeater</v>
      </c>
    </row>
    <row r="5" spans="1:24">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50" t="s">
        <v>46</v>
      </c>
      <c r="V5" s="870"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8">
        <v>2</v>
      </c>
      <c r="X5" s="714" t="str">
        <f t="shared" ref="X5:X53" si="0">IF(ISNA(INDEX($A$2:$A$51,MATCH(W5,V$2:V$51,0))), "", INDEX($A$2:$A$51,MATCH(W5,V$2:V$51,0)))</f>
        <v>Adamantite Rifle</v>
      </c>
    </row>
    <row r="6" spans="1:24">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50" t="s">
        <v>46</v>
      </c>
      <c r="V6" s="870">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8">
        <v>3</v>
      </c>
      <c r="X6" s="714" t="str">
        <f t="shared" si="0"/>
        <v>Barrel-Blade Longrifle</v>
      </c>
    </row>
    <row r="7" spans="1:24">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50" t="s">
        <v>48</v>
      </c>
      <c r="V7" s="870"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8">
        <v>4</v>
      </c>
      <c r="X7" s="714" t="str">
        <f t="shared" si="0"/>
        <v>Bloodwarder's Rifle</v>
      </c>
    </row>
    <row r="8" spans="1:24">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50" t="s">
        <v>46</v>
      </c>
      <c r="V8" s="870">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8">
        <v>5</v>
      </c>
      <c r="X8" s="714" t="str">
        <f t="shared" si="0"/>
        <v>Coilfang Needler</v>
      </c>
    </row>
    <row r="9" spans="1:24">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50" t="s">
        <v>44</v>
      </c>
      <c r="V9" s="870"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8">
        <v>6</v>
      </c>
      <c r="X9" s="714" t="str">
        <f t="shared" si="0"/>
        <v>Consortium Blaster</v>
      </c>
    </row>
    <row r="10" spans="1:24">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50" t="s">
        <v>47</v>
      </c>
      <c r="V10" s="870"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8">
        <v>7</v>
      </c>
      <c r="X10" s="714" t="str">
        <f t="shared" si="0"/>
        <v>Emberhawk Crossbow</v>
      </c>
    </row>
    <row r="11" spans="1:24">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50" t="s">
        <v>48</v>
      </c>
      <c r="V11" s="870">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8">
        <v>8</v>
      </c>
      <c r="X11" s="714" t="str">
        <f t="shared" si="0"/>
        <v>Felsteel Whisper Knives</v>
      </c>
    </row>
    <row r="12" spans="1:24">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50" t="s">
        <v>46</v>
      </c>
      <c r="V12" s="870">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8">
        <v>9</v>
      </c>
      <c r="X12" s="714" t="str">
        <f t="shared" si="0"/>
        <v>Fitz's Throwing Axe</v>
      </c>
    </row>
    <row r="13" spans="1:24">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50" t="s">
        <v>48</v>
      </c>
      <c r="V13" s="870"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8">
        <v>10</v>
      </c>
      <c r="X13" s="714" t="str">
        <f t="shared" si="0"/>
        <v>Gladiator's War Edge</v>
      </c>
    </row>
    <row r="14" spans="1:24">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50" t="s">
        <v>48</v>
      </c>
      <c r="V14" s="870"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8">
        <v>11</v>
      </c>
      <c r="X14" s="714" t="str">
        <f t="shared" si="0"/>
        <v>Hemet's Elekk Gun</v>
      </c>
    </row>
    <row r="15" spans="1:24">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50" t="s">
        <v>47</v>
      </c>
      <c r="V15" s="870"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8">
        <v>12</v>
      </c>
      <c r="X15" s="714" t="str">
        <f t="shared" si="0"/>
        <v>Lohn'goron, Bow of the Torn-heart</v>
      </c>
    </row>
    <row r="16" spans="1:24">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50" t="s">
        <v>48</v>
      </c>
      <c r="V16" s="870">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8">
        <v>13</v>
      </c>
      <c r="X16" s="714" t="str">
        <f t="shared" si="0"/>
        <v>Mama's Insurance</v>
      </c>
    </row>
    <row r="17" spans="1:24">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50" t="s">
        <v>47</v>
      </c>
      <c r="V17" s="870">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8">
        <v>14</v>
      </c>
      <c r="X17" s="714" t="str">
        <f t="shared" si="0"/>
        <v>Mark V's Throwing Star</v>
      </c>
    </row>
    <row r="18" spans="1:24">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50" t="s">
        <v>47</v>
      </c>
      <c r="V18" s="870">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8">
        <v>15</v>
      </c>
      <c r="X18" s="714" t="str">
        <f t="shared" si="0"/>
        <v>Marksman's Bow</v>
      </c>
    </row>
    <row r="19" spans="1:24">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50" t="s">
        <v>47</v>
      </c>
      <c r="V19" s="870">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8">
        <v>16</v>
      </c>
      <c r="X19" s="714" t="str">
        <f t="shared" si="0"/>
        <v>Needle Shrike</v>
      </c>
    </row>
    <row r="20" spans="1:24">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50" t="s">
        <v>44</v>
      </c>
      <c r="V20" s="870"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8">
        <v>17</v>
      </c>
      <c r="X20" s="714" t="str">
        <f t="shared" si="0"/>
        <v>Nerubian Slavemaker</v>
      </c>
    </row>
    <row r="21" spans="1:24">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50" t="s">
        <v>46</v>
      </c>
      <c r="V21" s="870">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8">
        <v>18</v>
      </c>
      <c r="X21" s="714" t="str">
        <f t="shared" si="0"/>
        <v>Ornate Khorium Rifle</v>
      </c>
    </row>
    <row r="22" spans="1:24">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50" t="s">
        <v>48</v>
      </c>
      <c r="V22" s="870"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8">
        <v>19</v>
      </c>
      <c r="X22" s="714" t="str">
        <f t="shared" si="0"/>
        <v>Sethekk Feather-Darts</v>
      </c>
    </row>
    <row r="23" spans="1:24">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50" t="s">
        <v>44</v>
      </c>
      <c r="V23" s="870">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8">
        <v>20</v>
      </c>
      <c r="X23" s="714" t="str">
        <f t="shared" si="0"/>
        <v>Shuriken of Negation</v>
      </c>
    </row>
    <row r="24" spans="1:24">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50" t="s">
        <v>46</v>
      </c>
      <c r="V24" s="870">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8">
        <v>21</v>
      </c>
      <c r="X24" s="714" t="str">
        <f t="shared" si="0"/>
        <v>Skyfire Hawk-Bow</v>
      </c>
    </row>
    <row r="25" spans="1:24">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50" t="s">
        <v>47</v>
      </c>
      <c r="V25" s="870">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8">
        <v>22</v>
      </c>
      <c r="X25" s="714" t="str">
        <f t="shared" si="0"/>
        <v>Spinesever</v>
      </c>
    </row>
    <row r="26" spans="1:24">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50" t="s">
        <v>44</v>
      </c>
      <c r="V26" s="870">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8">
        <v>23</v>
      </c>
      <c r="X26" s="714" t="str">
        <f t="shared" si="0"/>
        <v>Steelhawk Crossbow</v>
      </c>
    </row>
    <row r="27" spans="1:24">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50" t="s">
        <v>47</v>
      </c>
      <c r="V27" s="870"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8">
        <v>24</v>
      </c>
      <c r="X27" s="714" t="str">
        <f t="shared" si="0"/>
        <v>Striker's Mark</v>
      </c>
    </row>
    <row r="28" spans="1:24">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50" t="s">
        <v>47</v>
      </c>
      <c r="V28" s="870">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8">
        <v>25</v>
      </c>
      <c r="X28" s="714" t="str">
        <f t="shared" si="0"/>
        <v>Sunfury Bow of the Phoenix</v>
      </c>
    </row>
    <row r="29" spans="1:24">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50" t="s">
        <v>48</v>
      </c>
      <c r="V29" s="870">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8">
        <v>26</v>
      </c>
      <c r="X29" s="714" t="str">
        <f t="shared" si="0"/>
        <v>Telescopic Sharprifle</v>
      </c>
    </row>
    <row r="30" spans="1:24">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50" t="s">
        <v>47</v>
      </c>
      <c r="V30" s="870"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8">
        <v>27</v>
      </c>
      <c r="X30" s="714" t="str">
        <f t="shared" si="0"/>
        <v>Veteran's Musket</v>
      </c>
    </row>
    <row r="31" spans="1:24">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50" t="s">
        <v>46</v>
      </c>
      <c r="V31" s="870">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8">
        <v>28</v>
      </c>
      <c r="X31" s="714" t="str">
        <f t="shared" si="0"/>
        <v>Wolfslayer Sniper Rifle</v>
      </c>
    </row>
    <row r="32" spans="1:24">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50" t="s">
        <v>44</v>
      </c>
      <c r="V32" s="870"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8">
        <v>29</v>
      </c>
      <c r="X32" s="714" t="str">
        <f t="shared" si="0"/>
        <v>Wrathfire Hand-Cannon</v>
      </c>
    </row>
    <row r="33" spans="1:24">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50" t="s">
        <v>47</v>
      </c>
      <c r="V33" s="870"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8">
        <v>30</v>
      </c>
      <c r="X33" s="714" t="str">
        <f t="shared" si="0"/>
        <v>Wrathtide Longbow</v>
      </c>
    </row>
    <row r="34" spans="1:24">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50" t="s">
        <v>47</v>
      </c>
      <c r="V34" s="870">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8">
        <v>31</v>
      </c>
      <c r="X34" s="714" t="str">
        <f t="shared" si="0"/>
        <v>Xavian Stiletto</v>
      </c>
    </row>
    <row r="35" spans="1:24">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50" t="s">
        <v>47</v>
      </c>
      <c r="V35" s="870">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8">
        <v>32</v>
      </c>
      <c r="X35" s="714" t="str">
        <f t="shared" si="0"/>
        <v>(Unmodeled)</v>
      </c>
    </row>
    <row r="36" spans="1:24">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50" t="s">
        <v>44</v>
      </c>
      <c r="V36" s="870">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8">
        <v>33</v>
      </c>
      <c r="X36" s="714" t="str">
        <f t="shared" si="0"/>
        <v/>
      </c>
    </row>
    <row r="37" spans="1:24">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50" t="s">
        <v>47</v>
      </c>
      <c r="V37" s="870">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8">
        <v>34</v>
      </c>
      <c r="X37" s="714" t="str">
        <f t="shared" si="0"/>
        <v/>
      </c>
    </row>
    <row r="38" spans="1:24">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50" t="s">
        <v>48</v>
      </c>
      <c r="V38" s="870">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8">
        <v>35</v>
      </c>
      <c r="X38" s="714" t="str">
        <f t="shared" si="0"/>
        <v/>
      </c>
    </row>
    <row r="39" spans="1:24">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50" t="s">
        <v>44</v>
      </c>
      <c r="V39" s="870">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8">
        <v>36</v>
      </c>
      <c r="X39" s="714" t="str">
        <f t="shared" si="0"/>
        <v/>
      </c>
    </row>
    <row r="40" spans="1:24">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50" t="s">
        <v>44</v>
      </c>
      <c r="V40" s="870">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8">
        <v>37</v>
      </c>
      <c r="X40" s="714" t="str">
        <f t="shared" si="0"/>
        <v/>
      </c>
    </row>
    <row r="41" spans="1:24">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50" t="s">
        <v>46</v>
      </c>
      <c r="V41" s="870">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8">
        <v>38</v>
      </c>
      <c r="X41" s="714" t="str">
        <f t="shared" si="0"/>
        <v/>
      </c>
    </row>
    <row r="42" spans="1:24">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50" t="s">
        <v>44</v>
      </c>
      <c r="V42" s="870"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8">
        <v>39</v>
      </c>
      <c r="X42" s="714" t="str">
        <f t="shared" si="0"/>
        <v/>
      </c>
    </row>
    <row r="43" spans="1:24">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50" t="s">
        <v>46</v>
      </c>
      <c r="V43" s="870"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8">
        <v>40</v>
      </c>
      <c r="X43" s="714" t="str">
        <f t="shared" si="0"/>
        <v/>
      </c>
    </row>
    <row r="44" spans="1:24">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50" t="s">
        <v>47</v>
      </c>
      <c r="V44" s="870"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8">
        <v>41</v>
      </c>
      <c r="X44" s="714" t="str">
        <f t="shared" si="0"/>
        <v/>
      </c>
    </row>
    <row r="45" spans="1:24">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50" t="s">
        <v>47</v>
      </c>
      <c r="V45" s="870"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8">
        <v>42</v>
      </c>
      <c r="X45" s="714" t="str">
        <f t="shared" si="0"/>
        <v/>
      </c>
    </row>
    <row r="46" spans="1:24">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50" t="s">
        <v>46</v>
      </c>
      <c r="V46" s="870">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8">
        <v>43</v>
      </c>
      <c r="X46" s="714" t="str">
        <f t="shared" si="0"/>
        <v/>
      </c>
    </row>
    <row r="47" spans="1:24">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50" t="s">
        <v>46</v>
      </c>
      <c r="V47" s="870">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8">
        <v>44</v>
      </c>
      <c r="X47" s="714" t="str">
        <f t="shared" si="0"/>
        <v/>
      </c>
    </row>
    <row r="48" spans="1:24">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50" t="s">
        <v>46</v>
      </c>
      <c r="V48" s="870">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8">
        <v>45</v>
      </c>
      <c r="X48" s="714" t="str">
        <f t="shared" si="0"/>
        <v/>
      </c>
    </row>
    <row r="49" spans="1:24">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50" t="s">
        <v>44</v>
      </c>
      <c r="V49" s="870">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8">
        <v>46</v>
      </c>
      <c r="X49" s="714" t="str">
        <f t="shared" si="0"/>
        <v/>
      </c>
    </row>
    <row r="50" spans="1:24">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50" t="s">
        <v>47</v>
      </c>
      <c r="V50" s="870">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8">
        <v>47</v>
      </c>
      <c r="X50" s="714" t="str">
        <f t="shared" si="0"/>
        <v/>
      </c>
    </row>
    <row r="51" spans="1:24">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20">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70">
        <f>MAX($V$1:V50)+1</f>
        <v>32</v>
      </c>
      <c r="W51" s="738">
        <v>48</v>
      </c>
      <c r="X51" s="714" t="str">
        <f t="shared" si="0"/>
        <v/>
      </c>
    </row>
    <row r="52" spans="1:24">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8">
        <v>49</v>
      </c>
      <c r="X52" s="714" t="str">
        <f t="shared" si="0"/>
        <v/>
      </c>
    </row>
    <row r="53" spans="1:24">
      <c r="A53" s="10"/>
      <c r="B53" s="114"/>
      <c r="C53" s="114"/>
      <c r="D53" s="114"/>
      <c r="E53" s="114"/>
      <c r="F53" s="114"/>
      <c r="G53" s="127"/>
      <c r="H53" s="114"/>
      <c r="I53" s="114"/>
      <c r="J53" s="114"/>
      <c r="K53" s="114"/>
      <c r="L53" s="114"/>
      <c r="M53" s="114"/>
      <c r="N53" s="116"/>
      <c r="O53" s="114"/>
      <c r="P53" s="114"/>
      <c r="Q53" s="114"/>
      <c r="R53" s="114"/>
      <c r="S53" s="114"/>
      <c r="T53" s="114"/>
      <c r="U53" s="114"/>
      <c r="W53" s="738">
        <v>50</v>
      </c>
      <c r="X53" s="714" t="str">
        <f t="shared" si="0"/>
        <v/>
      </c>
    </row>
    <row r="54" spans="1:24">
      <c r="A54" s="130"/>
      <c r="J54" s="114"/>
      <c r="R54" s="114"/>
      <c r="S54" s="114"/>
      <c r="T54" s="114"/>
      <c r="U54" s="114"/>
      <c r="W54" s="114"/>
      <c r="X54" s="151"/>
    </row>
    <row r="55" spans="1:24">
      <c r="A55" s="130"/>
      <c r="J55" s="114"/>
      <c r="R55" s="114"/>
      <c r="S55" s="114"/>
      <c r="T55" s="114"/>
      <c r="U55" s="114"/>
      <c r="W55" s="114"/>
      <c r="X55" s="151"/>
    </row>
    <row r="56" spans="1:24">
      <c r="A56" s="130"/>
      <c r="J56" s="114"/>
      <c r="R56" s="114"/>
      <c r="S56" s="114"/>
      <c r="T56" s="114"/>
      <c r="U56" s="114"/>
      <c r="W56" s="114"/>
    </row>
    <row r="57" spans="1:24">
      <c r="A57" s="130"/>
      <c r="J57" s="114"/>
      <c r="Q57" s="114"/>
      <c r="R57" s="114"/>
      <c r="S57" s="114"/>
      <c r="T57" s="776"/>
      <c r="U57" s="250"/>
      <c r="W57" s="114"/>
    </row>
    <row r="58" spans="1:24">
      <c r="A58" s="130"/>
      <c r="J58" s="114"/>
      <c r="R58" s="114"/>
      <c r="S58" s="114"/>
      <c r="T58" s="114"/>
      <c r="U58" s="114"/>
      <c r="W58" s="114"/>
    </row>
    <row r="59" spans="1:24">
      <c r="A59" s="130"/>
      <c r="J59" s="114"/>
      <c r="R59" s="114"/>
      <c r="S59" s="114"/>
      <c r="T59" s="114"/>
      <c r="U59" s="114"/>
      <c r="W59" s="114"/>
    </row>
    <row r="60" spans="1:24">
      <c r="A60" s="130"/>
      <c r="B60" s="47"/>
      <c r="C60" s="47"/>
      <c r="D60" s="47"/>
      <c r="E60" s="47"/>
      <c r="F60" s="47"/>
      <c r="G60" s="47"/>
      <c r="H60" s="47"/>
      <c r="I60" s="47"/>
      <c r="J60" s="114"/>
      <c r="K60" s="47"/>
      <c r="L60" s="47"/>
      <c r="M60" s="47"/>
      <c r="N60" s="47"/>
      <c r="R60" s="114"/>
      <c r="S60" s="114"/>
      <c r="T60" s="114"/>
      <c r="U60" s="114"/>
      <c r="W60" s="114"/>
    </row>
    <row r="61" spans="1:24">
      <c r="A61" s="130"/>
      <c r="J61" s="114"/>
      <c r="R61" s="114"/>
      <c r="S61" s="114"/>
      <c r="T61" s="114"/>
      <c r="U61" s="114"/>
      <c r="W61" s="114"/>
    </row>
    <row r="62" spans="1:24">
      <c r="A62" s="130"/>
      <c r="J62" s="114"/>
      <c r="R62" s="114"/>
      <c r="S62" s="114"/>
      <c r="T62" s="114"/>
      <c r="U62" s="114"/>
      <c r="W62" s="114"/>
    </row>
    <row r="63" spans="1:24">
      <c r="A63" s="130"/>
      <c r="J63" s="114"/>
      <c r="R63" s="114"/>
      <c r="S63" s="114"/>
      <c r="T63" s="114"/>
      <c r="U63" s="114"/>
    </row>
    <row r="64" spans="1:24">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workbookViewId="0">
      <pane ySplit="1" topLeftCell="A2" activePane="bottomLeft" state="frozen"/>
      <selection pane="bottomLeft" activeCell="AF231" sqref="AF231"/>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8"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90"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29"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20" t="s">
        <v>164</v>
      </c>
      <c r="B1" s="820" t="s">
        <v>1934</v>
      </c>
      <c r="C1" s="820" t="s">
        <v>2798</v>
      </c>
      <c r="D1" s="820" t="s">
        <v>1214</v>
      </c>
      <c r="E1" s="820" t="s">
        <v>1215</v>
      </c>
      <c r="F1" s="820" t="s">
        <v>768</v>
      </c>
      <c r="G1" s="821" t="s">
        <v>2140</v>
      </c>
      <c r="H1" s="821" t="s">
        <v>2139</v>
      </c>
      <c r="I1" s="822" t="s">
        <v>771</v>
      </c>
      <c r="J1" s="823" t="s">
        <v>1739</v>
      </c>
      <c r="K1" s="821" t="s">
        <v>760</v>
      </c>
      <c r="L1" s="820" t="s">
        <v>1216</v>
      </c>
      <c r="M1" s="821" t="s">
        <v>264</v>
      </c>
      <c r="N1" s="821" t="s">
        <v>1217</v>
      </c>
      <c r="O1" s="821" t="s">
        <v>1287</v>
      </c>
      <c r="P1" s="820" t="s">
        <v>1221</v>
      </c>
      <c r="Q1" s="824" t="s">
        <v>1032</v>
      </c>
      <c r="R1" s="824" t="s">
        <v>1941</v>
      </c>
      <c r="S1" s="820" t="s">
        <v>666</v>
      </c>
      <c r="T1" s="825" t="s">
        <v>1222</v>
      </c>
      <c r="U1" s="821" t="s">
        <v>1223</v>
      </c>
      <c r="V1" s="825" t="s">
        <v>1705</v>
      </c>
      <c r="W1" s="825" t="s">
        <v>146</v>
      </c>
      <c r="X1" s="820" t="s">
        <v>1538</v>
      </c>
      <c r="Y1" s="820" t="s">
        <v>1225</v>
      </c>
      <c r="Z1" s="820" t="s">
        <v>564</v>
      </c>
      <c r="AA1" s="820" t="s">
        <v>565</v>
      </c>
      <c r="AB1" s="820" t="s">
        <v>566</v>
      </c>
      <c r="AC1" s="826" t="s">
        <v>567</v>
      </c>
      <c r="AD1" s="825"/>
      <c r="AE1" s="827">
        <v>0</v>
      </c>
      <c r="AF1" s="872">
        <v>0</v>
      </c>
      <c r="AG1" s="872"/>
    </row>
    <row r="2" spans="1:48" ht="12" thickBot="1">
      <c r="A2" s="828" t="s">
        <v>2057</v>
      </c>
      <c r="B2" s="829"/>
      <c r="C2" s="829"/>
      <c r="D2" s="744"/>
      <c r="E2" s="744"/>
      <c r="F2" s="744"/>
      <c r="G2" s="744"/>
      <c r="H2" s="744"/>
      <c r="I2" s="830"/>
      <c r="J2" s="744"/>
      <c r="K2" s="829"/>
      <c r="L2" s="744"/>
      <c r="M2" s="829"/>
      <c r="N2" s="744"/>
      <c r="O2" s="829"/>
      <c r="P2" s="744"/>
      <c r="Q2" s="744" t="s">
        <v>1033</v>
      </c>
      <c r="R2" s="744"/>
      <c r="S2" s="744"/>
      <c r="T2" s="831"/>
      <c r="U2" s="829"/>
      <c r="V2" s="831"/>
      <c r="W2" s="831"/>
      <c r="X2" s="744"/>
      <c r="Y2" s="744"/>
      <c r="Z2" s="744"/>
      <c r="AA2" s="744"/>
      <c r="AB2" s="744"/>
      <c r="AC2" s="832"/>
      <c r="AD2" s="831"/>
      <c r="AE2" s="744">
        <v>1</v>
      </c>
      <c r="AF2" s="114">
        <f>MAX(AF$1:AF1)+1</f>
        <v>1</v>
      </c>
      <c r="AG2" s="114"/>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9"/>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9"/>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52"/>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9"/>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7"/>
      <c r="J6" s="114"/>
      <c r="K6" s="116"/>
      <c r="L6" s="114">
        <v>12</v>
      </c>
      <c r="M6" s="116"/>
      <c r="N6" s="114"/>
      <c r="O6" s="116"/>
      <c r="P6" s="114"/>
      <c r="Q6" s="114" t="s">
        <v>1033</v>
      </c>
      <c r="R6" s="114"/>
      <c r="S6" s="114" t="s">
        <v>676</v>
      </c>
      <c r="T6" s="114">
        <v>90</v>
      </c>
      <c r="U6" s="116">
        <v>168</v>
      </c>
      <c r="V6" s="155">
        <f t="shared" ref="V6:V54" si="0">(U6+T6)/2</f>
        <v>129</v>
      </c>
      <c r="W6" s="155">
        <v>1.8</v>
      </c>
      <c r="X6" s="124">
        <f t="shared" ref="X6:X54" si="1">V6/W6</f>
        <v>71.666666666666671</v>
      </c>
      <c r="Y6" s="124" t="s">
        <v>2269</v>
      </c>
      <c r="Z6" s="114"/>
      <c r="AA6" s="114"/>
      <c r="AB6" s="114"/>
      <c r="AC6" s="289"/>
      <c r="AD6" s="791"/>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7"/>
      <c r="J7" s="114"/>
      <c r="K7" s="116"/>
      <c r="L7" s="114"/>
      <c r="M7" s="116"/>
      <c r="N7" s="114"/>
      <c r="O7" s="116"/>
      <c r="P7" s="114"/>
      <c r="Q7" s="114" t="s">
        <v>1033</v>
      </c>
      <c r="R7" s="114"/>
      <c r="S7" s="114" t="s">
        <v>675</v>
      </c>
      <c r="T7" s="114">
        <v>84</v>
      </c>
      <c r="U7" s="116">
        <v>157</v>
      </c>
      <c r="V7" s="155">
        <f t="shared" ref="V7" si="2">(U7+T7)/2</f>
        <v>120.5</v>
      </c>
      <c r="W7" s="155">
        <v>1.8</v>
      </c>
      <c r="X7" s="124">
        <f t="shared" ref="X7" si="3">V7/W7</f>
        <v>66.944444444444443</v>
      </c>
      <c r="Y7" s="124" t="s">
        <v>2269</v>
      </c>
      <c r="Z7" s="114"/>
      <c r="AA7" s="114"/>
      <c r="AB7" s="114"/>
      <c r="AC7" s="289"/>
      <c r="AD7" s="791"/>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7"/>
      <c r="J8" s="114">
        <v>210</v>
      </c>
      <c r="K8" s="116"/>
      <c r="L8" s="114"/>
      <c r="M8" s="116"/>
      <c r="N8" s="114"/>
      <c r="O8" s="116"/>
      <c r="P8" s="114"/>
      <c r="Q8" s="114" t="s">
        <v>1033</v>
      </c>
      <c r="R8" s="114"/>
      <c r="S8" s="114" t="s">
        <v>684</v>
      </c>
      <c r="T8" s="114">
        <v>144</v>
      </c>
      <c r="U8" s="116">
        <v>217</v>
      </c>
      <c r="V8" s="155">
        <f t="shared" si="0"/>
        <v>180.5</v>
      </c>
      <c r="W8" s="155">
        <v>1.8</v>
      </c>
      <c r="X8" s="124">
        <f t="shared" si="1"/>
        <v>100.27777777777777</v>
      </c>
      <c r="Y8" s="124" t="s">
        <v>2269</v>
      </c>
      <c r="Z8" s="114"/>
      <c r="AA8" s="114"/>
      <c r="AB8" s="114"/>
      <c r="AC8" s="289"/>
      <c r="AD8" s="791"/>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7"/>
      <c r="J9" s="114">
        <v>49</v>
      </c>
      <c r="K9" s="116"/>
      <c r="L9" s="114">
        <v>31</v>
      </c>
      <c r="M9" s="116"/>
      <c r="N9" s="114">
        <v>12</v>
      </c>
      <c r="O9" s="116"/>
      <c r="P9" s="114"/>
      <c r="Q9" s="114" t="s">
        <v>1033</v>
      </c>
      <c r="R9" s="114"/>
      <c r="S9" s="114" t="s">
        <v>677</v>
      </c>
      <c r="T9" s="114">
        <v>155</v>
      </c>
      <c r="U9" s="116">
        <v>233</v>
      </c>
      <c r="V9" s="155">
        <f t="shared" si="0"/>
        <v>194</v>
      </c>
      <c r="W9" s="155">
        <v>1.8</v>
      </c>
      <c r="X9" s="124">
        <f t="shared" si="1"/>
        <v>107.77777777777777</v>
      </c>
      <c r="Y9" s="114" t="s">
        <v>2269</v>
      </c>
      <c r="Z9" s="114"/>
      <c r="AA9" s="114"/>
      <c r="AB9" s="114"/>
      <c r="AC9" s="289"/>
      <c r="AD9" s="791"/>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Claw of the Netherwing Flight</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4">(U10+T10)/2</f>
        <v>129</v>
      </c>
      <c r="W10" s="155">
        <v>1.8</v>
      </c>
      <c r="X10" s="124">
        <f t="shared" ref="X10:X11" si="5">V10/W10</f>
        <v>71.666666666666671</v>
      </c>
      <c r="Y10" s="114" t="s">
        <v>2269</v>
      </c>
      <c r="Z10" s="114"/>
      <c r="AA10" s="114"/>
      <c r="AB10" s="114"/>
      <c r="AC10" s="289"/>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Death's Sting</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4"/>
        <v>106.5</v>
      </c>
      <c r="W11" s="155">
        <v>1.7</v>
      </c>
      <c r="X11" s="124">
        <f t="shared" si="5"/>
        <v>62.647058823529413</v>
      </c>
      <c r="Y11" s="114" t="s">
        <v>2269</v>
      </c>
      <c r="Z11" s="114"/>
      <c r="AA11" s="114"/>
      <c r="AB11" s="114"/>
      <c r="AC11" s="289"/>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Dirge</v>
      </c>
      <c r="AQ11" s="129" t="s">
        <v>1377</v>
      </c>
    </row>
    <row r="12" spans="1:48">
      <c r="A12" s="10" t="s">
        <v>2846</v>
      </c>
      <c r="B12" s="114">
        <v>31492</v>
      </c>
      <c r="C12" s="114">
        <v>1</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0"/>
        <v>119.5</v>
      </c>
      <c r="W12" s="155">
        <v>1.8</v>
      </c>
      <c r="X12" s="124">
        <f t="shared" si="1"/>
        <v>66.388888888888886</v>
      </c>
      <c r="Y12" s="114" t="s">
        <v>2269</v>
      </c>
      <c r="Z12" s="114"/>
      <c r="AA12" s="114"/>
      <c r="AB12" s="114"/>
      <c r="AC12" s="289"/>
      <c r="AD12" s="114"/>
      <c r="AE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7</v>
      </c>
      <c r="AF12" s="114">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7</v>
      </c>
      <c r="AG12" s="114"/>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Emerald Ripper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0"/>
        <v>205.5</v>
      </c>
      <c r="W13" s="155">
        <v>1.8</v>
      </c>
      <c r="X13" s="124">
        <f t="shared" si="1"/>
        <v>114.16666666666666</v>
      </c>
      <c r="Y13" s="114" t="s">
        <v>2269</v>
      </c>
      <c r="Z13" s="114"/>
      <c r="AA13" s="114"/>
      <c r="AB13" s="114"/>
      <c r="AC13" s="289"/>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Feltooth Eviscerator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0"/>
        <v>129</v>
      </c>
      <c r="W14" s="155">
        <v>1.8</v>
      </c>
      <c r="X14" s="124">
        <f t="shared" si="1"/>
        <v>71.666666666666671</v>
      </c>
      <c r="Y14" s="114" t="s">
        <v>2269</v>
      </c>
      <c r="Z14" s="114"/>
      <c r="AA14" s="114"/>
      <c r="AB14" s="114"/>
      <c r="AC14" s="289"/>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Gladiator's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0"/>
        <v>172</v>
      </c>
      <c r="W15" s="155">
        <v>1.8</v>
      </c>
      <c r="X15" s="124">
        <f t="shared" si="1"/>
        <v>95.555555555555557</v>
      </c>
      <c r="Y15" s="114" t="s">
        <v>2269</v>
      </c>
      <c r="AC15" s="289"/>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Shanker</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0"/>
        <v>119.5</v>
      </c>
      <c r="W16" s="155">
        <v>1.8</v>
      </c>
      <c r="X16" s="124">
        <f t="shared" si="1"/>
        <v>66.388888888888886</v>
      </c>
      <c r="Y16" s="114" t="s">
        <v>2269</v>
      </c>
      <c r="Z16" s="114"/>
      <c r="AA16" s="114"/>
      <c r="AB16" s="114"/>
      <c r="AC16" s="289"/>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8</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8</v>
      </c>
      <c r="AG16" s="114"/>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Grand Marshal's Shiv</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0"/>
        <v>116.5</v>
      </c>
      <c r="W17" s="155">
        <v>1.4</v>
      </c>
      <c r="X17" s="124">
        <f t="shared" si="1"/>
        <v>83.214285714285722</v>
      </c>
      <c r="Y17" s="114" t="s">
        <v>2269</v>
      </c>
      <c r="Z17" s="114"/>
      <c r="AA17" s="114"/>
      <c r="AB17" s="114"/>
      <c r="AC17" s="289"/>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9</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9</v>
      </c>
      <c r="AG17" s="114"/>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Guile of Khoraazi</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9"/>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Harbinger of Doom</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0"/>
        <v>157.5</v>
      </c>
      <c r="W19" s="155">
        <v>1.8</v>
      </c>
      <c r="X19" s="124">
        <f t="shared" si="1"/>
        <v>87.5</v>
      </c>
      <c r="Y19" s="114" t="s">
        <v>2269</v>
      </c>
      <c r="Z19" s="114"/>
      <c r="AA19" s="114"/>
      <c r="AB19" s="114"/>
      <c r="AC19" s="289"/>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10</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10</v>
      </c>
      <c r="AG19" s="114"/>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Shanker</v>
      </c>
      <c r="AQ19" s="1325"/>
      <c r="AR19" s="1325"/>
      <c r="AS19" s="1325"/>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0"/>
        <v>162</v>
      </c>
      <c r="W20" s="155">
        <v>1.5</v>
      </c>
      <c r="X20" s="124">
        <f t="shared" si="1"/>
        <v>108</v>
      </c>
      <c r="Y20" s="114" t="s">
        <v>2269</v>
      </c>
      <c r="Z20" s="114"/>
      <c r="AA20" s="114"/>
      <c r="AB20" s="114"/>
      <c r="AC20" s="289"/>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High Warlord's Shiv</v>
      </c>
      <c r="AQ20" s="1325"/>
      <c r="AR20" s="1331" t="s">
        <v>922</v>
      </c>
      <c r="AS20" s="1325"/>
      <c r="AT20" s="1325"/>
      <c r="AU20" s="1325"/>
      <c r="AV20" s="1325"/>
      <c r="AW20" s="1325" t="s">
        <v>1026</v>
      </c>
      <c r="AX20" s="1325" t="s">
        <v>1647</v>
      </c>
      <c r="AY20" s="1325" t="s">
        <v>1648</v>
      </c>
      <c r="AZ20" s="1325"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0"/>
        <v>180.5</v>
      </c>
      <c r="W21" s="155">
        <v>1.8</v>
      </c>
      <c r="X21" s="124">
        <f t="shared" si="1"/>
        <v>100.27777777777777</v>
      </c>
      <c r="Y21" s="114" t="s">
        <v>2269</v>
      </c>
      <c r="Z21" s="114"/>
      <c r="AA21" s="114"/>
      <c r="AB21" s="114"/>
      <c r="AC21" s="289"/>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Hungering Spineripper</v>
      </c>
      <c r="AQ21" s="1329" t="s">
        <v>924</v>
      </c>
      <c r="AR21" s="1328">
        <f>IF(mh="The Night Blade",Optimize!C46,IF(oh="The Night Blade",Optimize!C47,10))</f>
        <v>10</v>
      </c>
      <c r="AS21" s="1325"/>
      <c r="AT21" s="1325" t="s">
        <v>925</v>
      </c>
      <c r="AU21" s="1325"/>
      <c r="AV21" s="1325">
        <v>0</v>
      </c>
      <c r="AW21" s="1326">
        <f>10/($AR$24)</f>
        <v>16.666666666666664</v>
      </c>
      <c r="AX21" s="1327">
        <v>1</v>
      </c>
      <c r="AY21" s="1326">
        <v>0</v>
      </c>
      <c r="AZ21" s="1327">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0"/>
        <v>119.5</v>
      </c>
      <c r="W22" s="155">
        <v>1.4</v>
      </c>
      <c r="X22" s="124">
        <f t="shared" si="1"/>
        <v>85.357142857142861</v>
      </c>
      <c r="Y22" s="114" t="s">
        <v>2269</v>
      </c>
      <c r="Z22" s="114"/>
      <c r="AA22" s="114"/>
      <c r="AB22" s="114"/>
      <c r="AC22" s="289"/>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11</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11</v>
      </c>
      <c r="AG22" s="114"/>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Illidari-Bane Dagger</v>
      </c>
      <c r="AQ22" s="1329"/>
      <c r="AR22" s="1328"/>
      <c r="AS22" s="1325"/>
      <c r="AT22" s="1325" t="s">
        <v>926</v>
      </c>
      <c r="AU22" s="1325"/>
      <c r="AV22" s="1325">
        <v>1</v>
      </c>
      <c r="AW22" s="1326">
        <f>10/(1+$AR$24/(1-EXP(-$AR$24)))</f>
        <v>4.2921742610378759</v>
      </c>
      <c r="AX22" s="1327">
        <f>1-EXP(-$AR$21*tnbproc)</f>
        <v>0.45118836390597361</v>
      </c>
      <c r="AY22" s="1326">
        <v>10</v>
      </c>
      <c r="AZ22" s="1327">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0"/>
        <v>164</v>
      </c>
      <c r="W23" s="155">
        <v>1.8</v>
      </c>
      <c r="X23" s="124">
        <f t="shared" si="1"/>
        <v>91.111111111111114</v>
      </c>
      <c r="Y23" s="114" t="s">
        <v>2269</v>
      </c>
      <c r="Z23" s="114"/>
      <c r="AA23" s="114"/>
      <c r="AB23" s="114"/>
      <c r="AC23" s="289"/>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12</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12</v>
      </c>
      <c r="AG23" s="114"/>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Kingsfall</v>
      </c>
      <c r="AQ23" s="1329" t="s">
        <v>3013</v>
      </c>
      <c r="AR23" s="1327">
        <f>1.8/60*2</f>
        <v>6.0000000000000005E-2</v>
      </c>
      <c r="AS23" s="1325"/>
      <c r="AT23" s="1325" t="s">
        <v>927</v>
      </c>
      <c r="AU23" s="1325"/>
      <c r="AV23" s="1325">
        <v>2</v>
      </c>
      <c r="AW23" s="1326">
        <f>10/(1+$AR$24/(1-EXP(-$AR$24)))</f>
        <v>4.2921742610378759</v>
      </c>
      <c r="AX23" s="1327">
        <f>(1-EXP(-$AR$21*tnbproc))^2</f>
        <v>0.20357093972414927</v>
      </c>
      <c r="AY23" s="1326">
        <v>10</v>
      </c>
      <c r="AZ23" s="1327">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0"/>
        <v>129</v>
      </c>
      <c r="W24" s="155">
        <v>1.8</v>
      </c>
      <c r="X24" s="124">
        <f t="shared" si="1"/>
        <v>71.666666666666671</v>
      </c>
      <c r="Y24" s="114" t="s">
        <v>2269</v>
      </c>
      <c r="Z24" s="114"/>
      <c r="AA24" s="114"/>
      <c r="AB24" s="114"/>
      <c r="AC24" s="289"/>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13</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13</v>
      </c>
      <c r="AG24" s="114"/>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Malchazeen</v>
      </c>
      <c r="AQ24" s="1329" t="s">
        <v>1644</v>
      </c>
      <c r="AR24" s="1328">
        <f>IF($AR$21*tnbproc&gt;0, $AR$21*tnbproc, 1)</f>
        <v>0.60000000000000009</v>
      </c>
      <c r="AS24" s="1325"/>
      <c r="AT24" s="1325" t="s">
        <v>928</v>
      </c>
      <c r="AU24" s="1325"/>
      <c r="AV24" s="1325">
        <v>3</v>
      </c>
      <c r="AW24" s="1326">
        <f>IF(time=0, AW23/EXP(-$AR$21*tnbproc), MIN(AW23/EXP(-$AR$21*tnbproc),time-SUMPRODUCT(AW21:AW23,AX21:AX23)))</f>
        <v>7.8208514155893543</v>
      </c>
      <c r="AX24" s="1327">
        <f>AX23</f>
        <v>0.20357093972414927</v>
      </c>
      <c r="AY24" s="1326">
        <v>0</v>
      </c>
      <c r="AZ24" s="1327">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0"/>
        <v>100.5</v>
      </c>
      <c r="W25" s="155">
        <v>1.4</v>
      </c>
      <c r="X25" s="124">
        <f t="shared" si="1"/>
        <v>71.785714285714292</v>
      </c>
      <c r="Y25" s="124" t="s">
        <v>2269</v>
      </c>
      <c r="Z25" s="124"/>
      <c r="AA25" s="124"/>
      <c r="AB25" s="124"/>
      <c r="AC25" s="289"/>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14</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14</v>
      </c>
      <c r="AG25" s="114"/>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Retainer's Blade</v>
      </c>
      <c r="AQ25" s="1329" t="s">
        <v>929</v>
      </c>
      <c r="AR25" s="1328">
        <f>(Cycles!$I$1)*0.3</f>
        <v>0.77354193647919856</v>
      </c>
      <c r="AS25" s="1325"/>
      <c r="AT25" s="1325"/>
      <c r="AU25" s="1325"/>
      <c r="AV25" s="1325"/>
      <c r="AW25" s="1326">
        <f>SUMPRODUCT(AX21:AX24,AW21:AW24)</f>
        <v>21.069105768997428</v>
      </c>
      <c r="AX25" s="1325"/>
      <c r="AY25" s="1326">
        <f>SUMPRODUCT(AZ21:AZ24,AY21:AY24)</f>
        <v>7.9642906027585081</v>
      </c>
      <c r="AZ25" s="1325"/>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0"/>
        <v>130</v>
      </c>
      <c r="W26" s="155">
        <v>1.6</v>
      </c>
      <c r="X26" s="124">
        <f t="shared" si="1"/>
        <v>81.25</v>
      </c>
      <c r="Y26" s="114" t="s">
        <v>2269</v>
      </c>
      <c r="Z26" s="114"/>
      <c r="AA26" s="114"/>
      <c r="AB26" s="114"/>
      <c r="AC26" s="289"/>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15</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15</v>
      </c>
      <c r="AG26" s="114"/>
      <c r="AH26" s="124"/>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Riftmaker</v>
      </c>
      <c r="AQ26" s="1325"/>
      <c r="AR26" s="1325"/>
      <c r="AS26" s="1325"/>
      <c r="AT26" s="1325"/>
      <c r="AU26" s="1325"/>
      <c r="AV26" s="1325"/>
      <c r="AW26" s="1326">
        <f>SUMPRODUCT(AX21:AX24,AW21:AW24,$AV21:$AV24)</f>
        <v>8.460397194338988</v>
      </c>
      <c r="AX26" s="1325"/>
      <c r="AY26" s="1326">
        <f>SUMPRODUCT(AZ21:AZ24,AY21:AY24,$AV21:$AV24)</f>
        <v>10.440464844576752</v>
      </c>
      <c r="AZ26" s="1325"/>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0"/>
        <v>104.5</v>
      </c>
      <c r="W27" s="155">
        <v>1.6</v>
      </c>
      <c r="X27" s="124">
        <f t="shared" si="1"/>
        <v>65.3125</v>
      </c>
      <c r="Y27" s="114" t="s">
        <v>2269</v>
      </c>
      <c r="Z27" s="114"/>
      <c r="AA27" s="114"/>
      <c r="AB27" s="114"/>
      <c r="AC27" s="289"/>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16</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16</v>
      </c>
      <c r="AG27" s="114"/>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30"/>
      <c r="AR27" s="1330"/>
      <c r="AS27" s="1330"/>
      <c r="AT27" s="1325"/>
      <c r="AU27" s="1325"/>
      <c r="AV27" s="1325"/>
      <c r="AW27" s="1325"/>
      <c r="AX27" s="1326">
        <f>IF(OR(mh="The Night Blade",oh="The Night Blade"),(AW26+AY26)/(AW25+AY25),0)</f>
        <v>0</v>
      </c>
      <c r="AY27" s="1325"/>
      <c r="AZ27" s="1325"/>
    </row>
    <row r="28" spans="1:52">
      <c r="A28" s="10" t="s">
        <v>648</v>
      </c>
      <c r="B28" s="114">
        <v>29962</v>
      </c>
      <c r="C28" s="114">
        <v>2</v>
      </c>
      <c r="D28" s="114"/>
      <c r="E28" s="114">
        <v>20</v>
      </c>
      <c r="F28" s="124">
        <f>270*itHRmhUP</f>
        <v>114.88947681036424</v>
      </c>
      <c r="G28" s="115"/>
      <c r="H28" s="115"/>
      <c r="I28" s="115"/>
      <c r="J28" s="114"/>
      <c r="K28" s="116"/>
      <c r="L28" s="114">
        <v>30</v>
      </c>
      <c r="M28" s="116"/>
      <c r="N28" s="114"/>
      <c r="O28" s="116"/>
      <c r="P28" s="114"/>
      <c r="Q28" s="114" t="s">
        <v>1033</v>
      </c>
      <c r="R28" s="114"/>
      <c r="S28" s="114" t="s">
        <v>680</v>
      </c>
      <c r="T28" s="114">
        <v>121</v>
      </c>
      <c r="U28" s="116">
        <v>226</v>
      </c>
      <c r="V28" s="155">
        <f t="shared" si="0"/>
        <v>173.5</v>
      </c>
      <c r="W28" s="155">
        <v>1.8</v>
      </c>
      <c r="X28" s="124">
        <f t="shared" si="1"/>
        <v>96.388888888888886</v>
      </c>
      <c r="Y28" s="114" t="s">
        <v>2269</v>
      </c>
      <c r="Z28" s="114"/>
      <c r="AA28" s="114"/>
      <c r="AB28" s="114"/>
      <c r="AC28" s="289"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2" t="s">
        <v>1399</v>
      </c>
      <c r="AS28" s="1359">
        <f>75%/(BossLevel)*5/25</f>
        <v>2.054794520547945E-3</v>
      </c>
      <c r="AT28" s="1330"/>
      <c r="AU28" s="1330"/>
      <c r="AV28" s="1330"/>
      <c r="AW28" s="1330"/>
      <c r="AX28" s="1330"/>
      <c r="AY28" s="1330"/>
      <c r="AZ28" s="1330"/>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0"/>
        <v>129</v>
      </c>
      <c r="W29" s="155">
        <v>1.8</v>
      </c>
      <c r="X29" s="124">
        <f t="shared" si="1"/>
        <v>71.666666666666671</v>
      </c>
      <c r="Y29" s="114" t="s">
        <v>2269</v>
      </c>
      <c r="Z29" s="114"/>
      <c r="AA29" s="114"/>
      <c r="AB29" s="114"/>
      <c r="AC29" s="289"/>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17</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17</v>
      </c>
      <c r="AG29" s="114"/>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0"/>
        <v>100.5</v>
      </c>
      <c r="W30" s="155">
        <v>1.4</v>
      </c>
      <c r="X30" s="124">
        <f t="shared" si="1"/>
        <v>71.785714285714292</v>
      </c>
      <c r="Y30" s="124" t="s">
        <v>2269</v>
      </c>
      <c r="Z30" s="124"/>
      <c r="AA30" s="124"/>
      <c r="AB30" s="124"/>
      <c r="AC30" s="289"/>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18</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18</v>
      </c>
      <c r="AG30" s="114"/>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0"/>
        <v>129</v>
      </c>
      <c r="W31" s="155">
        <v>1.8</v>
      </c>
      <c r="X31" s="124">
        <f t="shared" si="1"/>
        <v>71.666666666666671</v>
      </c>
      <c r="Y31" s="114" t="s">
        <v>2269</v>
      </c>
      <c r="Z31" s="114"/>
      <c r="AA31" s="114"/>
      <c r="AB31" s="114"/>
      <c r="AC31" s="289"/>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19</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19</v>
      </c>
      <c r="AG31" s="114"/>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3"/>
      <c r="AR31" s="814" t="s">
        <v>2272</v>
      </c>
      <c r="AS31" s="815"/>
      <c r="AT31" s="815"/>
      <c r="AU31" s="815"/>
      <c r="AV31" s="816"/>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0"/>
        <v>129</v>
      </c>
      <c r="W32" s="155">
        <v>1.8</v>
      </c>
      <c r="X32" s="124">
        <f t="shared" si="1"/>
        <v>71.666666666666671</v>
      </c>
      <c r="Y32" s="124" t="s">
        <v>2269</v>
      </c>
      <c r="Z32" s="124"/>
      <c r="AA32" s="124"/>
      <c r="AB32" s="124"/>
      <c r="AC32" s="289"/>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20</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20</v>
      </c>
      <c r="AG32" s="114"/>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8"/>
      <c r="AR32" s="133"/>
      <c r="AS32" s="130" t="s">
        <v>3112</v>
      </c>
      <c r="AT32" s="114"/>
      <c r="AU32" s="114"/>
      <c r="AV32" s="807"/>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0"/>
        <v>244.5</v>
      </c>
      <c r="W33" s="155">
        <v>2</v>
      </c>
      <c r="X33" s="124">
        <f t="shared" si="1"/>
        <v>122.25</v>
      </c>
      <c r="Y33" s="124" t="s">
        <v>2269</v>
      </c>
      <c r="Z33" s="124"/>
      <c r="AA33" s="124"/>
      <c r="AB33" s="124"/>
      <c r="AC33" s="289"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4" t="s">
        <v>2282</v>
      </c>
      <c r="AR33" s="156">
        <f>'Damage Calc'!F25</f>
        <v>0.98</v>
      </c>
      <c r="AS33" s="10" t="s">
        <v>2275</v>
      </c>
      <c r="AT33" s="124">
        <f>VLOOKUP('Gear &amp; Buffs'!$B$10,MHWeaponStats,28,FALSE)</f>
        <v>0</v>
      </c>
      <c r="AU33" s="788" t="s">
        <v>2276</v>
      </c>
      <c r="AV33" s="805">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0"/>
        <v>131.5</v>
      </c>
      <c r="W34" s="155">
        <v>1.8</v>
      </c>
      <c r="X34" s="124">
        <f t="shared" si="1"/>
        <v>73.055555555555557</v>
      </c>
      <c r="Y34" s="114" t="s">
        <v>2269</v>
      </c>
      <c r="Z34" s="114"/>
      <c r="AA34" s="114"/>
      <c r="AB34" s="114"/>
      <c r="AC34" s="289"/>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21</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21</v>
      </c>
      <c r="AG34" s="114"/>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4" t="s">
        <v>2283</v>
      </c>
      <c r="AR34" s="156">
        <f>(IF(instatk="bs",-impBS*AR33,0)+'Damage Calc'!$F$23)</f>
        <v>0.21668945840701978</v>
      </c>
      <c r="AS34" s="10" t="s">
        <v>2278</v>
      </c>
      <c r="AT34" s="124">
        <f>IF(AT33&gt;0,VLOOKUP('Gear &amp; Buffs'!$B$10,MHWeaponStats,26,FALSE),0)</f>
        <v>0</v>
      </c>
      <c r="AU34" s="10"/>
      <c r="AV34" s="805">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0"/>
        <v>165.5</v>
      </c>
      <c r="W35" s="155">
        <v>1.8</v>
      </c>
      <c r="X35" s="124">
        <f t="shared" si="1"/>
        <v>91.944444444444443</v>
      </c>
      <c r="Y35" s="114" t="s">
        <v>2269</v>
      </c>
      <c r="Z35" s="114"/>
      <c r="AA35" s="114"/>
      <c r="AB35" s="114"/>
      <c r="AC35" s="289"/>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22</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22</v>
      </c>
      <c r="AG35" s="114"/>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60"/>
      <c r="AR35" s="1361"/>
      <c r="AS35" s="10"/>
      <c r="AT35" s="124"/>
      <c r="AU35" s="10"/>
      <c r="AV35" s="805"/>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0"/>
        <v>175.5</v>
      </c>
      <c r="W36" s="155">
        <v>1.8</v>
      </c>
      <c r="X36" s="124">
        <f t="shared" si="1"/>
        <v>97.5</v>
      </c>
      <c r="Y36" s="114" t="s">
        <v>2269</v>
      </c>
      <c r="Z36" s="114"/>
      <c r="AA36" s="114"/>
      <c r="AB36" s="114"/>
      <c r="AC36" s="289"/>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60"/>
      <c r="AR36" s="1361"/>
      <c r="AS36" s="10" t="s">
        <v>2280</v>
      </c>
      <c r="AT36" s="124">
        <f>IF(AT33&gt;0,VLOOKUP('Gear &amp; Buffs'!$B$10,MHWeaponStats,27,FALSE),1)</f>
        <v>1</v>
      </c>
      <c r="AU36" s="10"/>
      <c r="AV36" s="805">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0"/>
        <v>140.5</v>
      </c>
      <c r="W37" s="155">
        <v>1.4</v>
      </c>
      <c r="X37" s="124">
        <f t="shared" si="1"/>
        <v>100.35714285714286</v>
      </c>
      <c r="Y37" s="114" t="s">
        <v>2269</v>
      </c>
      <c r="Z37" s="114"/>
      <c r="AA37" s="114"/>
      <c r="AB37" s="114"/>
      <c r="AC37" s="289"/>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Blinkstrike</v>
      </c>
      <c r="AQ37" s="1360"/>
      <c r="AR37" s="1361"/>
      <c r="AS37" s="10"/>
      <c r="AT37" s="124"/>
      <c r="AU37" s="10"/>
      <c r="AV37" s="805"/>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0"/>
        <v>143.5</v>
      </c>
      <c r="W38" s="155">
        <v>1.5</v>
      </c>
      <c r="X38" s="124">
        <f t="shared" si="1"/>
        <v>95.666666666666671</v>
      </c>
      <c r="Y38" s="114" t="s">
        <v>2269</v>
      </c>
      <c r="Z38" s="114"/>
      <c r="AA38" s="114"/>
      <c r="AB38" s="114"/>
      <c r="AC38" s="289"/>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Edge of the Cosmos</v>
      </c>
      <c r="AN38" s="151"/>
      <c r="AQ38" s="1360"/>
      <c r="AR38" s="1361"/>
      <c r="AS38" s="10"/>
      <c r="AT38" s="124"/>
      <c r="AU38" s="10"/>
      <c r="AV38" s="805"/>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0"/>
        <v>121.5</v>
      </c>
      <c r="W39" s="155">
        <v>1.5</v>
      </c>
      <c r="X39" s="124">
        <f t="shared" si="1"/>
        <v>81</v>
      </c>
      <c r="Y39" s="114" t="s">
        <v>2269</v>
      </c>
      <c r="Z39" s="114"/>
      <c r="AA39" s="114"/>
      <c r="AB39" s="114"/>
      <c r="AC39" s="289"/>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23</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23</v>
      </c>
      <c r="AG39" s="114"/>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Felsteel Longblade</v>
      </c>
      <c r="AQ39" s="808" t="s">
        <v>2056</v>
      </c>
      <c r="AR39" s="114"/>
      <c r="AS39" s="10" t="s">
        <v>2284</v>
      </c>
      <c r="AT39" s="124">
        <f>'Damage Calc'!K48*'Damage Calc'!L48*$AT36*$AT34</f>
        <v>0</v>
      </c>
      <c r="AU39" s="10"/>
      <c r="AV39" s="806">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0"/>
        <v>146.5</v>
      </c>
      <c r="W40" s="155">
        <v>1.8</v>
      </c>
      <c r="X40" s="124">
        <f t="shared" si="1"/>
        <v>81.388888888888886</v>
      </c>
      <c r="Y40" s="114" t="s">
        <v>2269</v>
      </c>
      <c r="Z40" s="114"/>
      <c r="AA40" s="114"/>
      <c r="AB40" s="114"/>
      <c r="AC40" s="289"/>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24</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24</v>
      </c>
      <c r="AG40" s="114"/>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Gladiator's Slicer</v>
      </c>
      <c r="AQ40" s="808">
        <v>1</v>
      </c>
      <c r="AR40" s="10" t="s">
        <v>2268</v>
      </c>
      <c r="AS40" s="10" t="s">
        <v>442</v>
      </c>
      <c r="AT40" s="114">
        <f>IF(AT33=1,AT39*($AR33+$AR34)*armor,0)</f>
        <v>0</v>
      </c>
      <c r="AU40" s="10"/>
      <c r="AV40" s="807">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0"/>
        <v>201.5</v>
      </c>
      <c r="W41" s="155">
        <v>1.9</v>
      </c>
      <c r="X41" s="124">
        <f t="shared" si="1"/>
        <v>106.05263157894737</v>
      </c>
      <c r="Y41" s="114" t="s">
        <v>2269</v>
      </c>
      <c r="Z41" s="114"/>
      <c r="AA41" s="114"/>
      <c r="AB41" s="114"/>
      <c r="AC41" s="289"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Grand Marshal's Quickblade</v>
      </c>
      <c r="AQ41" s="808">
        <v>2</v>
      </c>
      <c r="AR41" s="10" t="s">
        <v>2270</v>
      </c>
      <c r="AS41" s="10" t="s">
        <v>443</v>
      </c>
      <c r="AT41" s="114">
        <f>IF(AT33=2,AT39*($AR$33),0)</f>
        <v>0</v>
      </c>
      <c r="AU41" s="10"/>
      <c r="AV41" s="807">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0"/>
        <v>194.5</v>
      </c>
      <c r="W42" s="155">
        <v>1.8</v>
      </c>
      <c r="X42" s="124">
        <f t="shared" si="1"/>
        <v>108.05555555555556</v>
      </c>
      <c r="Y42" s="114" t="s">
        <v>2269</v>
      </c>
      <c r="Z42" s="114"/>
      <c r="AA42" s="114"/>
      <c r="AB42" s="114"/>
      <c r="AC42" s="289"/>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Grand Marshal's Slicer</v>
      </c>
      <c r="AQ42" s="808">
        <v>3</v>
      </c>
      <c r="AR42" s="10" t="s">
        <v>2273</v>
      </c>
      <c r="AS42" s="10" t="s">
        <v>445</v>
      </c>
      <c r="AT42" s="114">
        <f>IF(AT33=3,AT39*(fullresist),0)</f>
        <v>0</v>
      </c>
      <c r="AU42" s="10"/>
      <c r="AV42" s="807">
        <f>IF(AV33=3,AV39*(fullresist),0)</f>
        <v>0</v>
      </c>
    </row>
    <row r="43" spans="1:48">
      <c r="A43" s="10" t="s">
        <v>647</v>
      </c>
      <c r="B43" s="114">
        <v>32781</v>
      </c>
      <c r="C43" s="114">
        <v>3</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0"/>
        <v>107.5</v>
      </c>
      <c r="W43" s="155">
        <v>1.5</v>
      </c>
      <c r="X43" s="124">
        <f t="shared" si="1"/>
        <v>71.666666666666671</v>
      </c>
      <c r="Y43" s="114" t="s">
        <v>2269</v>
      </c>
      <c r="Z43" s="114"/>
      <c r="AA43" s="114"/>
      <c r="AB43" s="114"/>
      <c r="AC43" s="289"/>
      <c r="AD43" s="114"/>
      <c r="AE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
      </c>
      <c r="AF43" s="114" t="str">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
      </c>
      <c r="AG43" s="114"/>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Gressil, Dawn of Ruin</v>
      </c>
      <c r="AQ43" s="808">
        <v>4</v>
      </c>
      <c r="AR43" s="10" t="s">
        <v>2274</v>
      </c>
      <c r="AS43" s="10" t="s">
        <v>448</v>
      </c>
      <c r="AT43" s="114">
        <f>IF(AT33=4,(AT39+'Damage Calc'!K49*'Damage Calc'!L49*AT36*AT34)*fullresist,0)</f>
        <v>0</v>
      </c>
      <c r="AU43" s="10"/>
      <c r="AV43" s="807">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0"/>
        <v>129</v>
      </c>
      <c r="W44" s="155">
        <v>1.8</v>
      </c>
      <c r="X44" s="124">
        <f t="shared" si="1"/>
        <v>71.666666666666671</v>
      </c>
      <c r="Y44" s="114" t="s">
        <v>2269</v>
      </c>
      <c r="Z44" s="114"/>
      <c r="AA44" s="114"/>
      <c r="AB44" s="114"/>
      <c r="AC44" s="289"/>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High Warlord's Blade (60)</v>
      </c>
      <c r="AQ44" s="808">
        <v>5</v>
      </c>
      <c r="AR44" s="10" t="s">
        <v>2277</v>
      </c>
      <c r="AS44" s="10" t="s">
        <v>1736</v>
      </c>
      <c r="AT44" s="114">
        <f>IF(AT33=5,(AT39)*fullresist,0)</f>
        <v>0</v>
      </c>
      <c r="AU44" s="10"/>
      <c r="AV44" s="807">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0"/>
        <v>146.5</v>
      </c>
      <c r="W45" s="155">
        <v>1.8</v>
      </c>
      <c r="X45" s="124">
        <f t="shared" si="1"/>
        <v>81.388888888888886</v>
      </c>
      <c r="Y45" s="114" t="s">
        <v>2269</v>
      </c>
      <c r="Z45" s="114"/>
      <c r="AA45" s="114"/>
      <c r="AB45" s="114"/>
      <c r="AC45" s="289"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High Warlord's Quickblade</v>
      </c>
      <c r="AM45" s="114"/>
      <c r="AN45" s="114"/>
      <c r="AO45" s="114"/>
      <c r="AP45" s="114"/>
      <c r="AQ45" s="809"/>
      <c r="AR45" s="810"/>
      <c r="AS45" s="810"/>
      <c r="AT45" s="810">
        <f>SUM(AT40:AT44)</f>
        <v>0</v>
      </c>
      <c r="AU45" s="811"/>
      <c r="AV45" s="812">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0"/>
        <v>100.5</v>
      </c>
      <c r="W46" s="155">
        <v>1.4</v>
      </c>
      <c r="X46" s="124">
        <f t="shared" si="1"/>
        <v>71.785714285714292</v>
      </c>
      <c r="Y46" s="114" t="s">
        <v>2269</v>
      </c>
      <c r="Z46" s="114"/>
      <c r="AA46" s="114"/>
      <c r="AB46" s="114"/>
      <c r="AC46" s="289"/>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High Warlord's Slicer</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0"/>
        <v>150.5</v>
      </c>
      <c r="W47" s="155">
        <v>1.5</v>
      </c>
      <c r="X47" s="124">
        <f t="shared" si="1"/>
        <v>100.33333333333333</v>
      </c>
      <c r="Y47" s="114" t="s">
        <v>2269</v>
      </c>
      <c r="Z47" s="114"/>
      <c r="AA47" s="114"/>
      <c r="AB47" s="114"/>
      <c r="AC47" s="289"/>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Honor's Call</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0"/>
        <v>100.5</v>
      </c>
      <c r="W48" s="155">
        <v>1.4</v>
      </c>
      <c r="X48" s="124">
        <f t="shared" si="1"/>
        <v>71.785714285714292</v>
      </c>
      <c r="Y48" s="114" t="s">
        <v>2269</v>
      </c>
      <c r="Z48" s="114"/>
      <c r="AA48" s="114"/>
      <c r="AB48" s="114"/>
      <c r="AC48" s="289"/>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Hope Ender</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0"/>
        <v>172</v>
      </c>
      <c r="W49" s="155">
        <v>1.8</v>
      </c>
      <c r="X49" s="124">
        <f t="shared" si="1"/>
        <v>95.555555555555557</v>
      </c>
      <c r="Y49" s="114" t="s">
        <v>2269</v>
      </c>
      <c r="Z49" s="114"/>
      <c r="AA49" s="114"/>
      <c r="AB49" s="114"/>
      <c r="AC49" s="289"/>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Illidari-Bane Broadsword</v>
      </c>
      <c r="AM49" s="114"/>
      <c r="AN49" s="114"/>
      <c r="AO49" s="156"/>
      <c r="AP49" s="114"/>
    </row>
    <row r="50" spans="1:48">
      <c r="A50" s="10" t="s">
        <v>1765</v>
      </c>
      <c r="B50" s="114">
        <v>33754</v>
      </c>
      <c r="C50" s="114">
        <v>3</v>
      </c>
      <c r="D50" s="114"/>
      <c r="E50" s="114"/>
      <c r="F50" s="114">
        <v>34</v>
      </c>
      <c r="G50" s="115">
        <v>21</v>
      </c>
      <c r="H50" s="115">
        <v>8</v>
      </c>
      <c r="I50" s="847"/>
      <c r="J50" s="114">
        <v>49</v>
      </c>
      <c r="K50" s="116"/>
      <c r="L50" s="114">
        <v>30</v>
      </c>
      <c r="M50" s="116"/>
      <c r="N50" s="114">
        <v>12</v>
      </c>
      <c r="O50" s="116"/>
      <c r="P50" s="114"/>
      <c r="Q50" s="114" t="s">
        <v>1033</v>
      </c>
      <c r="R50" s="114"/>
      <c r="S50" s="114" t="s">
        <v>677</v>
      </c>
      <c r="T50" s="114">
        <v>148</v>
      </c>
      <c r="U50" s="116">
        <v>223</v>
      </c>
      <c r="V50" s="155">
        <f t="shared" si="0"/>
        <v>185.5</v>
      </c>
      <c r="W50" s="155">
        <v>1.8</v>
      </c>
      <c r="X50" s="124">
        <f t="shared" si="1"/>
        <v>103.05555555555556</v>
      </c>
      <c r="Y50" s="114" t="s">
        <v>2269</v>
      </c>
      <c r="Z50" s="114"/>
      <c r="AA50" s="114"/>
      <c r="AB50" s="114"/>
      <c r="AC50" s="289"/>
      <c r="AD50" s="791"/>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King's Defender</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0"/>
        <v>150.5</v>
      </c>
      <c r="W51" s="155">
        <v>1.8</v>
      </c>
      <c r="X51" s="124">
        <f t="shared" si="1"/>
        <v>83.611111111111114</v>
      </c>
      <c r="Y51" s="114" t="s">
        <v>2269</v>
      </c>
      <c r="Z51" s="114"/>
      <c r="AA51" s="114"/>
      <c r="AB51" s="114"/>
      <c r="AC51" s="289"/>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Latro's Shifting Sword</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0"/>
        <v>93</v>
      </c>
      <c r="W52" s="155">
        <v>1.3</v>
      </c>
      <c r="X52" s="124">
        <f t="shared" si="1"/>
        <v>71.538461538461533</v>
      </c>
      <c r="Y52" s="115" t="s">
        <v>2269</v>
      </c>
      <c r="Z52" s="114"/>
      <c r="AA52" s="114"/>
      <c r="AB52" s="114"/>
      <c r="AC52" s="289"/>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Phosphorescent Blade</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9"/>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Revenger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0"/>
        <v>1</v>
      </c>
      <c r="W54" s="155">
        <f>'Gear &amp; Buffs'!$V$147</f>
        <v>2</v>
      </c>
      <c r="X54" s="124">
        <f t="shared" si="1"/>
        <v>0.5</v>
      </c>
      <c r="Y54" s="114" t="s">
        <v>2269</v>
      </c>
      <c r="Z54" s="114"/>
      <c r="AA54" s="114"/>
      <c r="AB54" s="114"/>
      <c r="AC54" s="289"/>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Spiteblade</v>
      </c>
      <c r="AM54" s="124"/>
      <c r="AN54" s="114"/>
      <c r="AO54" s="124"/>
      <c r="AP54" s="114"/>
    </row>
    <row r="55" spans="1:48">
      <c r="A55" s="827" t="str">
        <f>" "</f>
        <v xml:space="preserve"> </v>
      </c>
      <c r="B55" s="833"/>
      <c r="C55" s="833"/>
      <c r="D55" s="827"/>
      <c r="E55" s="827"/>
      <c r="F55" s="827"/>
      <c r="G55" s="827"/>
      <c r="H55" s="827"/>
      <c r="I55" s="834"/>
      <c r="J55" s="827"/>
      <c r="K55" s="833"/>
      <c r="L55" s="827"/>
      <c r="M55" s="833"/>
      <c r="N55" s="827"/>
      <c r="O55" s="833"/>
      <c r="P55" s="827"/>
      <c r="Q55" s="827" t="s">
        <v>1033</v>
      </c>
      <c r="R55" s="827"/>
      <c r="S55" s="827"/>
      <c r="T55" s="827"/>
      <c r="U55" s="833"/>
      <c r="V55" s="827"/>
      <c r="W55" s="827"/>
      <c r="X55" s="827"/>
      <c r="Y55" s="827"/>
      <c r="Z55" s="827"/>
      <c r="AA55" s="827"/>
      <c r="AB55" s="827"/>
      <c r="AC55" s="835"/>
      <c r="AD55" s="836"/>
      <c r="AE55" s="827"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The Hungering Cold</v>
      </c>
      <c r="AM55" s="124"/>
      <c r="AN55" s="114"/>
      <c r="AO55" s="124"/>
      <c r="AP55" s="114"/>
    </row>
    <row r="56" spans="1:48" ht="12" thickBot="1">
      <c r="A56" s="837" t="s">
        <v>1376</v>
      </c>
      <c r="B56" s="743"/>
      <c r="C56" s="743"/>
      <c r="D56" s="743"/>
      <c r="E56" s="743"/>
      <c r="F56" s="743"/>
      <c r="G56" s="743"/>
      <c r="H56" s="743"/>
      <c r="I56" s="838"/>
      <c r="J56" s="743"/>
      <c r="K56" s="743"/>
      <c r="L56" s="743"/>
      <c r="M56" s="743"/>
      <c r="N56" s="743"/>
      <c r="O56" s="743"/>
      <c r="P56" s="837"/>
      <c r="Q56" s="743" t="s">
        <v>1033</v>
      </c>
      <c r="R56" s="743"/>
      <c r="S56" s="743"/>
      <c r="T56" s="743"/>
      <c r="U56" s="743"/>
      <c r="V56" s="743"/>
      <c r="W56" s="743"/>
      <c r="X56" s="743"/>
      <c r="Y56" s="743"/>
      <c r="Z56" s="743"/>
      <c r="AA56" s="743"/>
      <c r="AB56" s="743"/>
      <c r="AC56" s="837"/>
      <c r="AD56" s="743"/>
      <c r="AE56" s="743">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The Sun Eater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6">(U57+T57)/2</f>
        <v>143.5</v>
      </c>
      <c r="W57" s="155">
        <v>1.5</v>
      </c>
      <c r="X57" s="124">
        <f t="shared" ref="X57:X98" si="7">V57/W57</f>
        <v>95.666666666666671</v>
      </c>
      <c r="Y57" s="115" t="s">
        <v>1377</v>
      </c>
      <c r="Z57" s="114"/>
      <c r="AA57" s="114"/>
      <c r="AB57" s="114"/>
      <c r="AC57" s="289"/>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Thunderfury</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6"/>
        <v>260.5</v>
      </c>
      <c r="W58" s="155">
        <v>2.6</v>
      </c>
      <c r="X58" s="124">
        <f t="shared" si="7"/>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Vindicator's Brand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6"/>
        <v>140.5</v>
      </c>
      <c r="W59" s="155">
        <v>1.4</v>
      </c>
      <c r="X59" s="124">
        <f t="shared" si="7"/>
        <v>100.35714285714286</v>
      </c>
      <c r="Y59" s="115" t="s">
        <v>1377</v>
      </c>
      <c r="Z59" s="114"/>
      <c r="AA59" s="114"/>
      <c r="AB59" s="114"/>
      <c r="AC59" s="289"/>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Warp-Storm Warblade</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6"/>
        <v>156</v>
      </c>
      <c r="W60" s="155">
        <v>1.6</v>
      </c>
      <c r="X60" s="124">
        <f t="shared" si="7"/>
        <v>97.5</v>
      </c>
      <c r="Y60" s="114" t="s">
        <v>1377</v>
      </c>
      <c r="Z60" s="114"/>
      <c r="AA60" s="114"/>
      <c r="AB60" s="114"/>
      <c r="AC60" s="10"/>
      <c r="AD60" s="114"/>
      <c r="AE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
      </c>
      <c r="AF60" s="114" t="str">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
      </c>
      <c r="AG60" s="114"/>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(Unmodeled MH Sword)</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6"/>
        <v>146</v>
      </c>
      <c r="W61" s="155">
        <v>1.6</v>
      </c>
      <c r="X61" s="124">
        <f t="shared" si="7"/>
        <v>91.25</v>
      </c>
      <c r="Y61" s="115" t="s">
        <v>1377</v>
      </c>
      <c r="Z61" s="114"/>
      <c r="AA61" s="114"/>
      <c r="AB61" s="114"/>
      <c r="AC61" s="289"/>
      <c r="AD61" s="115"/>
      <c r="AE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
      </c>
      <c r="AF61" s="114" t="str">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
      </c>
      <c r="AG61" s="114"/>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 xml:space="preserve"> </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6"/>
        <v>211</v>
      </c>
      <c r="W62" s="155">
        <v>2.6</v>
      </c>
      <c r="X62" s="124">
        <f t="shared" si="7"/>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2</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35</v>
      </c>
      <c r="AG62" s="114"/>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(Fist Weapons)</v>
      </c>
      <c r="AM62" s="114"/>
      <c r="AN62" s="114"/>
      <c r="AO62" s="114"/>
      <c r="AP62" s="114"/>
    </row>
    <row r="63" spans="1:48">
      <c r="A63" s="10" t="s">
        <v>2002</v>
      </c>
      <c r="B63" s="116">
        <v>35101</v>
      </c>
      <c r="C63" s="116">
        <v>5</v>
      </c>
      <c r="D63" s="114"/>
      <c r="E63" s="114"/>
      <c r="F63" s="114">
        <v>38</v>
      </c>
      <c r="G63" s="115">
        <v>22</v>
      </c>
      <c r="H63" s="115">
        <v>9</v>
      </c>
      <c r="I63" s="847"/>
      <c r="J63" s="114">
        <v>49</v>
      </c>
      <c r="K63" s="116"/>
      <c r="L63" s="114">
        <v>31</v>
      </c>
      <c r="M63" s="116"/>
      <c r="N63" s="114">
        <v>12</v>
      </c>
      <c r="O63" s="116"/>
      <c r="P63" s="114"/>
      <c r="Q63" s="114" t="s">
        <v>1033</v>
      </c>
      <c r="R63" s="114"/>
      <c r="S63" s="114" t="s">
        <v>677</v>
      </c>
      <c r="T63" s="114">
        <v>224</v>
      </c>
      <c r="U63" s="116">
        <v>337</v>
      </c>
      <c r="V63" s="155">
        <f t="shared" si="6"/>
        <v>280.5</v>
      </c>
      <c r="W63" s="155">
        <v>2.6</v>
      </c>
      <c r="X63" s="124">
        <f t="shared" si="7"/>
        <v>107.88461538461539</v>
      </c>
      <c r="Y63" s="114" t="s">
        <v>1377</v>
      </c>
      <c r="Z63" s="114"/>
      <c r="AA63" s="114"/>
      <c r="AB63" s="114"/>
      <c r="AC63" s="289"/>
      <c r="AD63" s="791"/>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Big Bad Wolf's Paw</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6"/>
        <v>162</v>
      </c>
      <c r="W64" s="155">
        <v>1.5</v>
      </c>
      <c r="X64" s="124">
        <f t="shared" si="7"/>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Claw of the Watcher</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6"/>
        <v>186.5</v>
      </c>
      <c r="W65" s="155">
        <v>2.6</v>
      </c>
      <c r="X65" s="124">
        <f t="shared" si="7"/>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3</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36</v>
      </c>
      <c r="AG65" s="114"/>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Demonblood Eviscerator</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6"/>
        <v>183.5</v>
      </c>
      <c r="W66" s="155">
        <v>2.2000000000000002</v>
      </c>
      <c r="X66" s="124">
        <f t="shared" si="7"/>
        <v>83.409090909090907</v>
      </c>
      <c r="Y66" s="115" t="s">
        <v>1377</v>
      </c>
      <c r="Z66" s="114"/>
      <c r="AA66" s="114"/>
      <c r="AB66" s="114"/>
      <c r="AC66" s="289"/>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4</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37</v>
      </c>
      <c r="AG66" s="114"/>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Gladiator's Right Ripper</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6"/>
        <v>135</v>
      </c>
      <c r="W67" s="155">
        <v>1.6</v>
      </c>
      <c r="X67" s="124">
        <f t="shared" si="7"/>
        <v>84.375</v>
      </c>
      <c r="Y67" s="114" t="s">
        <v>1377</v>
      </c>
      <c r="Z67" s="114"/>
      <c r="AA67" s="114"/>
      <c r="AB67" s="114"/>
      <c r="AC67" s="10"/>
      <c r="AD67" s="114"/>
      <c r="AE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
      </c>
      <c r="AF67" s="114" t="str">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
      </c>
      <c r="AG67" s="114"/>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Grand Marshal's Right Ripper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6"/>
        <v>237</v>
      </c>
      <c r="W68" s="155">
        <v>2.6</v>
      </c>
      <c r="X68" s="124">
        <f t="shared" si="7"/>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5</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38</v>
      </c>
      <c r="AG68" s="114"/>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High Warlord's Right Ripper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6"/>
        <v>129</v>
      </c>
      <c r="W69" s="155">
        <v>1.8</v>
      </c>
      <c r="X69" s="124">
        <f t="shared" si="7"/>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6</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39</v>
      </c>
      <c r="AG69" s="114"/>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Reflex Blades</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6"/>
        <v>186.5</v>
      </c>
      <c r="W70" s="155">
        <v>2.6</v>
      </c>
      <c r="X70" s="124">
        <f t="shared" si="7"/>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7</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40</v>
      </c>
      <c r="AG70" s="114"/>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The Bladefist</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6"/>
        <v>197.5</v>
      </c>
      <c r="W71" s="155">
        <v>2.7</v>
      </c>
      <c r="X71" s="124">
        <f t="shared" si="7"/>
        <v>73.148148148148138</v>
      </c>
      <c r="Y71" s="115" t="s">
        <v>1377</v>
      </c>
      <c r="Z71" s="114"/>
      <c r="AA71" s="114"/>
      <c r="AB71" s="114"/>
      <c r="AC71" s="289"/>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8</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41</v>
      </c>
      <c r="AG71" s="114"/>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(Unmodeled MH Fist)</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6"/>
        <v>248.5</v>
      </c>
      <c r="W72" s="155">
        <v>2.6</v>
      </c>
      <c r="X72" s="124">
        <f t="shared" si="7"/>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 xml:space="preserve"> </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8">(U73+T73)/2</f>
        <v>172.5</v>
      </c>
      <c r="W73" s="155">
        <v>2.9</v>
      </c>
      <c r="X73" s="124">
        <f t="shared" ref="X73" si="9">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9</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42</v>
      </c>
      <c r="AG73" s="114"/>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(Maces)</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6"/>
        <v>129</v>
      </c>
      <c r="W74" s="155">
        <v>1.8</v>
      </c>
      <c r="X74" s="124">
        <f t="shared" si="7"/>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10</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43</v>
      </c>
      <c r="AG74" s="114"/>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Blackout Truncheon</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6"/>
        <v>186.5</v>
      </c>
      <c r="W75" s="155">
        <v>2.6</v>
      </c>
      <c r="X75" s="124">
        <f t="shared" si="7"/>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11</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44</v>
      </c>
      <c r="AG75" s="114"/>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Bloodskull Destroyer</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6"/>
        <v>146</v>
      </c>
      <c r="W76" s="155">
        <v>1.8</v>
      </c>
      <c r="X76" s="124">
        <f t="shared" si="7"/>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12</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45</v>
      </c>
      <c r="AG76" s="114"/>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Fool's Bane</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6"/>
        <v>233.5</v>
      </c>
      <c r="W77" s="155">
        <v>2.6</v>
      </c>
      <c r="X77" s="124">
        <f t="shared" si="7"/>
        <v>89.807692307692307</v>
      </c>
      <c r="Y77" s="115" t="s">
        <v>1377</v>
      </c>
      <c r="AC77" s="289"/>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13</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46</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Gladiator's Pummeler</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6"/>
        <v>193.5</v>
      </c>
      <c r="W78" s="155">
        <v>2.7</v>
      </c>
      <c r="X78" s="124">
        <f t="shared" si="7"/>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14</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47</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Grand Marshal's Bonecracker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6"/>
        <v>100.5</v>
      </c>
      <c r="W79" s="155">
        <v>1.4</v>
      </c>
      <c r="X79" s="124">
        <f t="shared" si="7"/>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Grand Marshal's Pummeler</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6"/>
        <v>140</v>
      </c>
      <c r="W80" s="155">
        <v>1.6</v>
      </c>
      <c r="X80" s="124">
        <f t="shared" si="7"/>
        <v>87.5</v>
      </c>
      <c r="Y80" s="115" t="s">
        <v>1377</v>
      </c>
      <c r="Z80" s="114"/>
      <c r="AA80" s="114"/>
      <c r="AB80" s="114"/>
      <c r="AC80" s="289"/>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15</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48</v>
      </c>
      <c r="AG80" s="114"/>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High Warlord's Bonecracker</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High Warlord's Pummeler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6"/>
        <v>100.5</v>
      </c>
      <c r="W82" s="155">
        <v>1.4</v>
      </c>
      <c r="X82" s="124">
        <f t="shared" si="7"/>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16</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49</v>
      </c>
      <c r="AG82" s="114"/>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Runic Hammer</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6"/>
        <v>254</v>
      </c>
      <c r="W83" s="155">
        <v>2.6</v>
      </c>
      <c r="X83" s="124">
        <f t="shared" si="7"/>
        <v>97.692307692307693</v>
      </c>
      <c r="Y83" s="115" t="s">
        <v>1377</v>
      </c>
      <c r="Z83" s="114"/>
      <c r="AA83" s="114"/>
      <c r="AB83" s="114"/>
      <c r="AC83" s="289"/>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Terokk's Nightmace</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6"/>
        <v>280.5</v>
      </c>
      <c r="W84" s="155">
        <v>2.6</v>
      </c>
      <c r="X84" s="124">
        <f t="shared" si="7"/>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Truncheon of Five Hells</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6"/>
        <v>172</v>
      </c>
      <c r="W85" s="155">
        <v>2.4</v>
      </c>
      <c r="X85" s="124">
        <f t="shared" si="7"/>
        <v>71.666666666666671</v>
      </c>
      <c r="Y85" s="114" t="s">
        <v>1377</v>
      </c>
      <c r="Z85" s="114"/>
      <c r="AA85" s="114"/>
      <c r="AB85" s="114"/>
      <c r="AC85" s="289"/>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17</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50</v>
      </c>
      <c r="AG85" s="114"/>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(Unmodeled MH Mace)</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6"/>
        <v>107.5</v>
      </c>
      <c r="W87" s="155">
        <v>1.5</v>
      </c>
      <c r="X87" s="124">
        <f t="shared" si="7"/>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18</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51</v>
      </c>
      <c r="AG87" s="114"/>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6"/>
        <v>236.5</v>
      </c>
      <c r="W88" s="155">
        <v>2.7</v>
      </c>
      <c r="X88" s="124">
        <f t="shared" si="7"/>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19</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52</v>
      </c>
      <c r="AG88" s="114"/>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6"/>
        <v>260.5</v>
      </c>
      <c r="W89" s="155">
        <v>2.7</v>
      </c>
      <c r="X89" s="124">
        <f t="shared" si="7"/>
        <v>96.481481481481481</v>
      </c>
      <c r="Y89" s="115" t="s">
        <v>1377</v>
      </c>
      <c r="Z89" s="114"/>
      <c r="AA89" s="114"/>
      <c r="AB89" s="114"/>
      <c r="AC89" s="289"/>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6"/>
        <v>109.5</v>
      </c>
      <c r="W90" s="155">
        <v>1.5</v>
      </c>
      <c r="X90" s="124">
        <f t="shared" si="7"/>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20</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53</v>
      </c>
      <c r="AG90" s="114"/>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6"/>
        <v>133.5</v>
      </c>
      <c r="W91" s="155">
        <v>1.6</v>
      </c>
      <c r="X91" s="124">
        <f t="shared" si="7"/>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21</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54</v>
      </c>
      <c r="AG91" s="114"/>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6"/>
        <v>194</v>
      </c>
      <c r="W92" s="155">
        <v>2.7</v>
      </c>
      <c r="X92" s="124">
        <f t="shared" si="7"/>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6"/>
        <v>160.5</v>
      </c>
      <c r="W93" s="155">
        <v>1.6</v>
      </c>
      <c r="X93" s="124">
        <f t="shared" si="7"/>
        <v>100.3125</v>
      </c>
      <c r="Y93" s="115" t="s">
        <v>1377</v>
      </c>
      <c r="Z93" s="114"/>
      <c r="AA93" s="114"/>
      <c r="AB93" s="114"/>
      <c r="AC93" s="289"/>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6"/>
        <v>102.5</v>
      </c>
      <c r="W94" s="155">
        <v>1.9</v>
      </c>
      <c r="X94" s="124">
        <f t="shared" si="7"/>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22</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55</v>
      </c>
      <c r="AG94" s="114"/>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7"/>
      <c r="J95" s="114">
        <v>49</v>
      </c>
      <c r="K95" s="116"/>
      <c r="L95" s="114">
        <v>30</v>
      </c>
      <c r="M95" s="116"/>
      <c r="N95" s="114">
        <v>12</v>
      </c>
      <c r="O95" s="116"/>
      <c r="P95" s="114"/>
      <c r="Q95" s="114" t="s">
        <v>1033</v>
      </c>
      <c r="R95" s="114"/>
      <c r="S95" s="114" t="s">
        <v>677</v>
      </c>
      <c r="T95" s="114">
        <v>214</v>
      </c>
      <c r="U95" s="116">
        <v>322</v>
      </c>
      <c r="V95" s="155">
        <f t="shared" si="6"/>
        <v>268</v>
      </c>
      <c r="W95" s="155">
        <v>2.6</v>
      </c>
      <c r="X95" s="124">
        <f t="shared" si="7"/>
        <v>103.07692307692308</v>
      </c>
      <c r="Y95" s="114" t="s">
        <v>1377</v>
      </c>
      <c r="Z95" s="114"/>
      <c r="AA95" s="114"/>
      <c r="AB95" s="114"/>
      <c r="AC95" s="289"/>
      <c r="AD95" s="791"/>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6"/>
        <v>211</v>
      </c>
      <c r="W96" s="155">
        <v>2.6</v>
      </c>
      <c r="X96" s="124">
        <f t="shared" si="7"/>
        <v>81.153846153846146</v>
      </c>
      <c r="Y96" s="115" t="s">
        <v>1377</v>
      </c>
      <c r="Z96" s="114"/>
      <c r="AA96" s="114"/>
      <c r="AB96" s="114"/>
      <c r="AC96" s="289"/>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23</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56</v>
      </c>
      <c r="AG96" s="114"/>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6"/>
        <v>306</v>
      </c>
      <c r="W97" s="155">
        <v>2.8</v>
      </c>
      <c r="X97" s="124">
        <f t="shared" si="7"/>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52"/>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6"/>
        <v>354.5</v>
      </c>
      <c r="W98" s="155">
        <v>2.9</v>
      </c>
      <c r="X98" s="124">
        <f t="shared" si="7"/>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9"/>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24</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57</v>
      </c>
      <c r="AG99" s="114"/>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20">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9"/>
      <c r="AD100" s="115"/>
      <c r="AE100" s="114">
        <f>MAX($AE$56:AE99)+1</f>
        <v>25</v>
      </c>
      <c r="AF100" s="114">
        <f>MAX(AF$1:AF99)+1</f>
        <v>58</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7" t="str">
        <f>" "</f>
        <v xml:space="preserve"> </v>
      </c>
      <c r="B101" s="833"/>
      <c r="C101" s="833"/>
      <c r="D101" s="827"/>
      <c r="E101" s="827"/>
      <c r="F101" s="827"/>
      <c r="G101" s="827"/>
      <c r="H101" s="827"/>
      <c r="I101" s="834"/>
      <c r="J101" s="827"/>
      <c r="K101" s="833"/>
      <c r="L101" s="827"/>
      <c r="M101" s="833"/>
      <c r="N101" s="827"/>
      <c r="O101" s="833"/>
      <c r="P101" s="827"/>
      <c r="Q101" s="827" t="s">
        <v>1033</v>
      </c>
      <c r="R101" s="827"/>
      <c r="S101" s="827"/>
      <c r="T101" s="827"/>
      <c r="U101" s="833"/>
      <c r="V101" s="827"/>
      <c r="W101" s="827"/>
      <c r="X101" s="827"/>
      <c r="Y101" s="827"/>
      <c r="Z101" s="827"/>
      <c r="AA101" s="827"/>
      <c r="AB101" s="827"/>
      <c r="AC101" s="835"/>
      <c r="AD101" s="836"/>
      <c r="AE101" s="827"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59</v>
      </c>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7" t="s">
        <v>5</v>
      </c>
      <c r="B102" s="839"/>
      <c r="C102" s="839"/>
      <c r="D102" s="743"/>
      <c r="E102" s="743"/>
      <c r="F102" s="743"/>
      <c r="G102" s="838"/>
      <c r="H102" s="838"/>
      <c r="I102" s="838"/>
      <c r="J102" s="743"/>
      <c r="K102" s="839"/>
      <c r="L102" s="743"/>
      <c r="M102" s="839"/>
      <c r="N102" s="743"/>
      <c r="O102" s="839"/>
      <c r="P102" s="743"/>
      <c r="Q102" s="743" t="s">
        <v>1033</v>
      </c>
      <c r="R102" s="743"/>
      <c r="S102" s="743"/>
      <c r="T102" s="743"/>
      <c r="U102" s="839"/>
      <c r="V102" s="840"/>
      <c r="W102" s="743"/>
      <c r="X102" s="841"/>
      <c r="Y102" s="838" t="s">
        <v>6</v>
      </c>
      <c r="Z102" s="743"/>
      <c r="AA102" s="743"/>
      <c r="AB102" s="743"/>
      <c r="AC102" s="842"/>
      <c r="AD102" s="838"/>
      <c r="AE102" s="743">
        <v>1</v>
      </c>
      <c r="AF102" s="114">
        <f>MAX(AF$1:AF101)+1</f>
        <v>60</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0">(U103+T103)/2</f>
        <v>219</v>
      </c>
      <c r="W103" s="155">
        <v>2.5</v>
      </c>
      <c r="X103" s="124">
        <f t="shared" ref="X103:X117" si="11">V103/W103</f>
        <v>87.6</v>
      </c>
      <c r="Y103" s="115" t="s">
        <v>6</v>
      </c>
      <c r="Z103" s="114"/>
      <c r="AA103" s="114"/>
      <c r="AB103" s="114"/>
      <c r="AC103" s="289"/>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61</v>
      </c>
      <c r="AG103" s="114"/>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7"/>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9"/>
      <c r="AD104" s="791"/>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9"/>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0"/>
        <v>179</v>
      </c>
      <c r="W106" s="155">
        <v>2.5</v>
      </c>
      <c r="X106" s="124">
        <f t="shared" si="11"/>
        <v>71.599999999999994</v>
      </c>
      <c r="Y106" s="115" t="s">
        <v>6</v>
      </c>
      <c r="Z106" s="114"/>
      <c r="AA106" s="114"/>
      <c r="AB106" s="114"/>
      <c r="AC106" s="289"/>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62</v>
      </c>
      <c r="AG106" s="114"/>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0"/>
        <v>186.5</v>
      </c>
      <c r="W107" s="155">
        <v>2.6</v>
      </c>
      <c r="X107" s="124">
        <f t="shared" si="11"/>
        <v>71.730769230769226</v>
      </c>
      <c r="Y107" s="115" t="s">
        <v>6</v>
      </c>
      <c r="Z107" s="114"/>
      <c r="AA107" s="114"/>
      <c r="AB107" s="114"/>
      <c r="AC107" s="289"/>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63</v>
      </c>
      <c r="AG107" s="114"/>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0"/>
        <v>237.5</v>
      </c>
      <c r="W108" s="155">
        <v>2.6</v>
      </c>
      <c r="X108" s="124">
        <f t="shared" si="11"/>
        <v>91.34615384615384</v>
      </c>
      <c r="Y108" s="115" t="s">
        <v>6</v>
      </c>
      <c r="Z108" s="114"/>
      <c r="AA108" s="114"/>
      <c r="AB108" s="114"/>
      <c r="AC108" s="289"/>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64</v>
      </c>
      <c r="AG108" s="114"/>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0"/>
        <v>186.5</v>
      </c>
      <c r="W109" s="155">
        <v>2.6</v>
      </c>
      <c r="X109" s="124">
        <f t="shared" si="11"/>
        <v>71.730769230769226</v>
      </c>
      <c r="Y109" s="115" t="s">
        <v>6</v>
      </c>
      <c r="Z109" s="114"/>
      <c r="AA109" s="114"/>
      <c r="AB109" s="114"/>
      <c r="AC109" s="289"/>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65</v>
      </c>
      <c r="AG109" s="114"/>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9"/>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0"/>
        <v>186.5</v>
      </c>
      <c r="W111" s="155">
        <v>2.6</v>
      </c>
      <c r="X111" s="124">
        <f t="shared" si="11"/>
        <v>71.730769230769226</v>
      </c>
      <c r="Y111" s="115" t="s">
        <v>6</v>
      </c>
      <c r="Z111" s="114"/>
      <c r="AA111" s="114"/>
      <c r="AB111" s="114"/>
      <c r="AC111" s="289"/>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66</v>
      </c>
      <c r="AG111" s="114"/>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0"/>
        <v>253.5</v>
      </c>
      <c r="W112" s="155">
        <v>2.6</v>
      </c>
      <c r="X112" s="124">
        <f t="shared" si="11"/>
        <v>97.5</v>
      </c>
      <c r="Y112" s="114" t="s">
        <v>6</v>
      </c>
      <c r="Z112" s="114"/>
      <c r="AA112" s="114"/>
      <c r="AB112" s="114"/>
      <c r="AC112" s="289"/>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0"/>
        <v>248.5</v>
      </c>
      <c r="W113" s="155">
        <v>2.6</v>
      </c>
      <c r="X113" s="124">
        <f t="shared" si="11"/>
        <v>95.57692307692308</v>
      </c>
      <c r="Y113" s="114" t="s">
        <v>6</v>
      </c>
      <c r="Z113" s="114"/>
      <c r="AA113" s="114"/>
      <c r="AB113" s="114"/>
      <c r="AC113" s="289"/>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0"/>
        <v>193.5</v>
      </c>
      <c r="W114" s="155">
        <v>2.7</v>
      </c>
      <c r="X114" s="124">
        <f t="shared" si="11"/>
        <v>71.666666666666657</v>
      </c>
      <c r="Y114" s="115" t="s">
        <v>6</v>
      </c>
      <c r="Z114" s="114"/>
      <c r="AA114" s="114"/>
      <c r="AB114" s="114"/>
      <c r="AC114" s="289"/>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67</v>
      </c>
      <c r="AG114" s="114"/>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0"/>
        <v>260.5</v>
      </c>
      <c r="W115" s="155">
        <v>2.7</v>
      </c>
      <c r="X115" s="124">
        <f t="shared" si="11"/>
        <v>96.481481481481481</v>
      </c>
      <c r="Y115" s="115" t="s">
        <v>6</v>
      </c>
      <c r="Z115" s="114"/>
      <c r="AA115" s="114"/>
      <c r="AB115" s="114"/>
      <c r="AC115" s="289"/>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28.584686841201592</v>
      </c>
      <c r="J116" s="114"/>
      <c r="K116" s="116"/>
      <c r="L116" s="114"/>
      <c r="M116" s="116"/>
      <c r="N116" s="114"/>
      <c r="O116" s="116"/>
      <c r="P116" s="114"/>
      <c r="Q116" s="114" t="s">
        <v>1033</v>
      </c>
      <c r="R116" s="114"/>
      <c r="S116" s="114" t="s">
        <v>691</v>
      </c>
      <c r="T116" s="114">
        <v>152</v>
      </c>
      <c r="U116" s="116">
        <v>283</v>
      </c>
      <c r="V116" s="155">
        <f t="shared" si="10"/>
        <v>217.5</v>
      </c>
      <c r="W116" s="155">
        <v>2.6</v>
      </c>
      <c r="X116" s="124">
        <f t="shared" si="11"/>
        <v>83.653846153846146</v>
      </c>
      <c r="Y116" s="115" t="s">
        <v>6</v>
      </c>
      <c r="Z116" s="114"/>
      <c r="AA116" s="114"/>
      <c r="AB116" s="114"/>
      <c r="AC116" s="289"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68</v>
      </c>
      <c r="AG116" s="114"/>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7"/>
      <c r="J117" s="114">
        <v>49</v>
      </c>
      <c r="K117" s="116"/>
      <c r="L117" s="114">
        <v>30</v>
      </c>
      <c r="M117" s="116"/>
      <c r="N117" s="114">
        <v>12</v>
      </c>
      <c r="O117" s="116"/>
      <c r="P117" s="114"/>
      <c r="Q117" s="114" t="s">
        <v>1033</v>
      </c>
      <c r="R117" s="114"/>
      <c r="S117" s="114" t="s">
        <v>677</v>
      </c>
      <c r="T117" s="114">
        <v>187</v>
      </c>
      <c r="U117" s="116">
        <v>349</v>
      </c>
      <c r="V117" s="155">
        <f t="shared" si="10"/>
        <v>268</v>
      </c>
      <c r="W117" s="155">
        <v>2.6</v>
      </c>
      <c r="X117" s="124">
        <f t="shared" si="11"/>
        <v>103.07692307692308</v>
      </c>
      <c r="Y117" s="114" t="s">
        <v>6</v>
      </c>
      <c r="Z117" s="114"/>
      <c r="AA117" s="114"/>
      <c r="AB117" s="114"/>
      <c r="AC117" s="289"/>
      <c r="AD117" s="791"/>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8">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9"/>
      <c r="AD118" s="791"/>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20">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9"/>
      <c r="AD119" s="791"/>
      <c r="AE119" s="114">
        <f>MAX($AE$102:AE118)+1</f>
        <v>10</v>
      </c>
      <c r="AF119" s="114">
        <f>MAX(AF$1:AF118)+1</f>
        <v>69</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7" t="str">
        <f>" "</f>
        <v xml:space="preserve"> </v>
      </c>
      <c r="B120" s="833"/>
      <c r="C120" s="833"/>
      <c r="D120" s="827"/>
      <c r="E120" s="827"/>
      <c r="F120" s="827"/>
      <c r="G120" s="827"/>
      <c r="H120" s="827"/>
      <c r="I120" s="834"/>
      <c r="J120" s="827"/>
      <c r="K120" s="833"/>
      <c r="L120" s="827"/>
      <c r="M120" s="833"/>
      <c r="N120" s="827"/>
      <c r="O120" s="833"/>
      <c r="P120" s="827"/>
      <c r="Q120" s="827" t="s">
        <v>1033</v>
      </c>
      <c r="R120" s="827"/>
      <c r="S120" s="827"/>
      <c r="T120" s="827"/>
      <c r="U120" s="833"/>
      <c r="V120" s="827"/>
      <c r="W120" s="827"/>
      <c r="X120" s="827"/>
      <c r="Y120" s="827"/>
      <c r="Z120" s="827"/>
      <c r="AA120" s="827"/>
      <c r="AB120" s="827"/>
      <c r="AC120" s="835"/>
      <c r="AD120" s="836"/>
      <c r="AE120" s="827"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70</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7" t="s">
        <v>910</v>
      </c>
      <c r="B121" s="839"/>
      <c r="C121" s="839"/>
      <c r="D121" s="743"/>
      <c r="E121" s="743"/>
      <c r="F121" s="743"/>
      <c r="G121" s="838"/>
      <c r="H121" s="838"/>
      <c r="I121" s="838"/>
      <c r="J121" s="743"/>
      <c r="K121" s="839"/>
      <c r="L121" s="743"/>
      <c r="M121" s="839"/>
      <c r="N121" s="743"/>
      <c r="O121" s="839"/>
      <c r="P121" s="743"/>
      <c r="Q121" s="743" t="s">
        <v>1033</v>
      </c>
      <c r="R121" s="743"/>
      <c r="S121" s="743"/>
      <c r="T121" s="743"/>
      <c r="U121" s="839"/>
      <c r="V121" s="840"/>
      <c r="W121" s="743"/>
      <c r="X121" s="841"/>
      <c r="Y121" s="838"/>
      <c r="Z121" s="743"/>
      <c r="AA121" s="743"/>
      <c r="AB121" s="743"/>
      <c r="AC121" s="842"/>
      <c r="AD121" s="838"/>
      <c r="AE121" s="743">
        <v>1</v>
      </c>
      <c r="AF121" s="114">
        <f>MAX(AF$1:AF120)+1</f>
        <v>71</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2">(U122+T122)/2</f>
        <v>129</v>
      </c>
      <c r="W122" s="155">
        <v>1.8</v>
      </c>
      <c r="X122" s="124">
        <f t="shared" ref="X122:X146" si="13">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56.168188662844742</v>
      </c>
      <c r="J123" s="114"/>
      <c r="K123" s="116"/>
      <c r="L123" s="114"/>
      <c r="M123" s="116"/>
      <c r="N123" s="114"/>
      <c r="O123" s="116"/>
      <c r="P123" s="114"/>
      <c r="Q123" s="114" t="s">
        <v>1045</v>
      </c>
      <c r="R123" s="114" t="s">
        <v>1465</v>
      </c>
      <c r="S123" s="114" t="s">
        <v>673</v>
      </c>
      <c r="T123" s="114">
        <v>73</v>
      </c>
      <c r="U123" s="116">
        <v>136</v>
      </c>
      <c r="V123" s="155">
        <f t="shared" si="12"/>
        <v>104.5</v>
      </c>
      <c r="W123" s="155">
        <v>1.5</v>
      </c>
      <c r="X123" s="124">
        <f t="shared" si="13"/>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72</v>
      </c>
      <c r="AG123" s="114"/>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2"/>
        <v>186.5</v>
      </c>
      <c r="W124" s="155">
        <v>2.6</v>
      </c>
      <c r="X124" s="124">
        <f t="shared" si="13"/>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73</v>
      </c>
      <c r="AG124" s="114"/>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7"/>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1"/>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1033</v>
      </c>
      <c r="R126" s="114"/>
      <c r="S126" s="114" t="s">
        <v>686</v>
      </c>
      <c r="T126" s="114">
        <v>172</v>
      </c>
      <c r="U126" s="116">
        <v>320</v>
      </c>
      <c r="V126" s="155">
        <f t="shared" si="12"/>
        <v>246</v>
      </c>
      <c r="W126" s="155">
        <v>2.7</v>
      </c>
      <c r="X126" s="124">
        <f t="shared" si="13"/>
        <v>91.1111111111111</v>
      </c>
      <c r="Y126" s="115" t="s">
        <v>911</v>
      </c>
      <c r="Z126" s="114"/>
      <c r="AA126" s="114"/>
      <c r="AB126" s="114"/>
      <c r="AC126" s="10" t="s">
        <v>1290</v>
      </c>
      <c r="AD126" s="115"/>
      <c r="AE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
      </c>
      <c r="AF126" s="114" t="str">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
      </c>
      <c r="AG126" s="114"/>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3</v>
      </c>
      <c r="D127" s="114"/>
      <c r="E127" s="114"/>
      <c r="F127" s="114"/>
      <c r="G127" s="115"/>
      <c r="H127" s="115"/>
      <c r="I127" s="115">
        <f>212*itGenProc10sMH</f>
        <v>90.209515125174889</v>
      </c>
      <c r="J127" s="114"/>
      <c r="K127" s="116"/>
      <c r="L127" s="114">
        <v>19</v>
      </c>
      <c r="M127" s="116"/>
      <c r="N127" s="114"/>
      <c r="O127" s="116"/>
      <c r="P127" s="114"/>
      <c r="Q127" s="114" t="s">
        <v>1033</v>
      </c>
      <c r="R127" s="114"/>
      <c r="S127" s="114" t="s">
        <v>686</v>
      </c>
      <c r="T127" s="114">
        <v>184</v>
      </c>
      <c r="U127" s="116">
        <v>343</v>
      </c>
      <c r="V127" s="155">
        <f t="shared" si="12"/>
        <v>263.5</v>
      </c>
      <c r="W127" s="155">
        <v>2.7</v>
      </c>
      <c r="X127" s="124">
        <f t="shared" si="13"/>
        <v>97.592592592592581</v>
      </c>
      <c r="Y127" s="115" t="s">
        <v>911</v>
      </c>
      <c r="Z127" s="114"/>
      <c r="AA127" s="114"/>
      <c r="AB127" s="114"/>
      <c r="AC127" s="10" t="s">
        <v>1290</v>
      </c>
      <c r="AD127" s="115"/>
      <c r="AE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
      </c>
      <c r="AF127" s="114" t="str">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
      </c>
      <c r="AG127" s="114"/>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90.209515125174889</v>
      </c>
      <c r="J128" s="114"/>
      <c r="K128" s="116"/>
      <c r="L128" s="114"/>
      <c r="M128" s="116"/>
      <c r="N128" s="114"/>
      <c r="O128" s="116"/>
      <c r="P128" s="114"/>
      <c r="Q128" s="114" t="s">
        <v>1033</v>
      </c>
      <c r="R128" s="114"/>
      <c r="S128" s="114" t="s">
        <v>686</v>
      </c>
      <c r="T128" s="114">
        <v>159</v>
      </c>
      <c r="U128" s="116">
        <v>296</v>
      </c>
      <c r="V128" s="155">
        <f t="shared" si="12"/>
        <v>227.5</v>
      </c>
      <c r="W128" s="155">
        <v>2.7</v>
      </c>
      <c r="X128" s="124">
        <f t="shared" si="13"/>
        <v>84.259259259259252</v>
      </c>
      <c r="Y128" s="115" t="s">
        <v>911</v>
      </c>
      <c r="Z128" s="114"/>
      <c r="AA128" s="114"/>
      <c r="AB128" s="114"/>
      <c r="AC128" s="10" t="s">
        <v>1290</v>
      </c>
      <c r="AD128" s="115"/>
      <c r="AE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
      </c>
      <c r="AF128" s="114" t="str">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
      </c>
      <c r="AG128" s="114"/>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7"/>
      <c r="J129" s="114"/>
      <c r="K129" s="116"/>
      <c r="L129" s="114"/>
      <c r="M129" s="116"/>
      <c r="N129" s="114"/>
      <c r="O129" s="116"/>
      <c r="P129" s="114"/>
      <c r="Q129" s="114" t="s">
        <v>1043</v>
      </c>
      <c r="R129" s="114" t="s">
        <v>1338</v>
      </c>
      <c r="S129" s="114" t="s">
        <v>672</v>
      </c>
      <c r="T129" s="114">
        <v>159</v>
      </c>
      <c r="U129" s="116">
        <v>296</v>
      </c>
      <c r="V129" s="155">
        <f t="shared" si="12"/>
        <v>227.5</v>
      </c>
      <c r="W129" s="155">
        <v>2.6</v>
      </c>
      <c r="X129" s="124">
        <f t="shared" si="13"/>
        <v>87.5</v>
      </c>
      <c r="Y129" s="114" t="s">
        <v>911</v>
      </c>
      <c r="Z129" s="114"/>
      <c r="AA129" s="114"/>
      <c r="AB129" s="114"/>
      <c r="AC129" s="10"/>
      <c r="AD129" s="791"/>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4</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74</v>
      </c>
      <c r="AG129" s="114"/>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7"/>
      <c r="J130" s="114"/>
      <c r="K130" s="116"/>
      <c r="L130" s="114">
        <v>21</v>
      </c>
      <c r="M130" s="116"/>
      <c r="N130" s="114">
        <v>10</v>
      </c>
      <c r="O130" s="116"/>
      <c r="P130" s="114"/>
      <c r="Q130" s="114" t="s">
        <v>1033</v>
      </c>
      <c r="R130" s="114"/>
      <c r="S130" s="114" t="s">
        <v>677</v>
      </c>
      <c r="T130" s="114">
        <v>189</v>
      </c>
      <c r="U130" s="116">
        <v>285</v>
      </c>
      <c r="V130" s="155">
        <f t="shared" si="12"/>
        <v>237</v>
      </c>
      <c r="W130" s="155">
        <v>2.6</v>
      </c>
      <c r="X130" s="124">
        <f t="shared" si="13"/>
        <v>91.153846153846146</v>
      </c>
      <c r="Y130" s="114" t="s">
        <v>911</v>
      </c>
      <c r="Z130" s="114"/>
      <c r="AA130" s="114"/>
      <c r="AB130" s="114"/>
      <c r="AC130" s="10"/>
      <c r="AD130" s="791"/>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5</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75</v>
      </c>
      <c r="AG130" s="114"/>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7"/>
      <c r="J131" s="114"/>
      <c r="K131" s="116"/>
      <c r="L131" s="114">
        <v>18</v>
      </c>
      <c r="M131" s="116"/>
      <c r="N131" s="114">
        <v>9</v>
      </c>
      <c r="O131" s="116"/>
      <c r="P131" s="114"/>
      <c r="Q131" s="114" t="s">
        <v>1033</v>
      </c>
      <c r="R131" s="114"/>
      <c r="S131" s="114" t="s">
        <v>677</v>
      </c>
      <c r="T131" s="114">
        <v>103</v>
      </c>
      <c r="U131" s="116">
        <v>155</v>
      </c>
      <c r="V131" s="155">
        <f t="shared" si="12"/>
        <v>129</v>
      </c>
      <c r="W131" s="155">
        <v>1.8</v>
      </c>
      <c r="X131" s="124">
        <f t="shared" si="13"/>
        <v>71.666666666666671</v>
      </c>
      <c r="Y131" s="114" t="s">
        <v>911</v>
      </c>
      <c r="Z131" s="114"/>
      <c r="AA131" s="114"/>
      <c r="AB131" s="114"/>
      <c r="AC131" s="10"/>
      <c r="AD131" s="791"/>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6</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76</v>
      </c>
      <c r="AG131" s="114"/>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7"/>
      <c r="J132" s="114"/>
      <c r="K132" s="116"/>
      <c r="L132" s="114">
        <v>18</v>
      </c>
      <c r="M132" s="116"/>
      <c r="N132" s="114">
        <v>9</v>
      </c>
      <c r="O132" s="116"/>
      <c r="P132" s="114"/>
      <c r="Q132" s="114" t="s">
        <v>1033</v>
      </c>
      <c r="R132" s="114"/>
      <c r="S132" s="114" t="s">
        <v>677</v>
      </c>
      <c r="T132" s="114">
        <v>149</v>
      </c>
      <c r="U132" s="116">
        <v>224</v>
      </c>
      <c r="V132" s="155">
        <f t="shared" si="12"/>
        <v>186.5</v>
      </c>
      <c r="W132" s="155">
        <v>2.6</v>
      </c>
      <c r="X132" s="124">
        <f t="shared" si="13"/>
        <v>71.730769230769226</v>
      </c>
      <c r="Y132" s="114" t="s">
        <v>911</v>
      </c>
      <c r="Z132" s="114"/>
      <c r="AA132" s="114"/>
      <c r="AB132" s="114"/>
      <c r="AC132" s="10"/>
      <c r="AD132" s="791"/>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7</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77</v>
      </c>
      <c r="AG132" s="114"/>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7"/>
      <c r="J133" s="114"/>
      <c r="K133" s="116"/>
      <c r="L133" s="114">
        <v>18</v>
      </c>
      <c r="M133" s="116"/>
      <c r="N133" s="114">
        <v>9</v>
      </c>
      <c r="O133" s="116"/>
      <c r="P133" s="114"/>
      <c r="Q133" s="114" t="s">
        <v>1033</v>
      </c>
      <c r="R133" s="114"/>
      <c r="S133" s="114" t="s">
        <v>677</v>
      </c>
      <c r="T133" s="114">
        <v>103</v>
      </c>
      <c r="U133" s="116">
        <v>155</v>
      </c>
      <c r="V133" s="155">
        <f t="shared" si="12"/>
        <v>129</v>
      </c>
      <c r="W133" s="155">
        <v>1.8</v>
      </c>
      <c r="X133" s="124">
        <f t="shared" si="13"/>
        <v>71.666666666666671</v>
      </c>
      <c r="Y133" s="114" t="s">
        <v>911</v>
      </c>
      <c r="Z133" s="114"/>
      <c r="AA133" s="114"/>
      <c r="AB133" s="114"/>
      <c r="AC133" s="10"/>
      <c r="AD133" s="791"/>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8</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78</v>
      </c>
      <c r="AG133" s="114"/>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7"/>
      <c r="J134" s="114"/>
      <c r="K134" s="116"/>
      <c r="L134" s="114">
        <v>18</v>
      </c>
      <c r="M134" s="116"/>
      <c r="N134" s="114">
        <v>9</v>
      </c>
      <c r="O134" s="116"/>
      <c r="P134" s="114"/>
      <c r="Q134" s="114" t="s">
        <v>1033</v>
      </c>
      <c r="R134" s="114"/>
      <c r="S134" s="114" t="s">
        <v>677</v>
      </c>
      <c r="T134" s="114">
        <v>149</v>
      </c>
      <c r="U134" s="116">
        <v>224</v>
      </c>
      <c r="V134" s="155">
        <f t="shared" si="12"/>
        <v>186.5</v>
      </c>
      <c r="W134" s="155">
        <v>2.6</v>
      </c>
      <c r="X134" s="124">
        <f t="shared" si="13"/>
        <v>71.730769230769226</v>
      </c>
      <c r="Y134" s="114" t="s">
        <v>911</v>
      </c>
      <c r="Z134" s="114"/>
      <c r="AA134" s="114"/>
      <c r="AB134" s="114"/>
      <c r="AC134" s="10"/>
      <c r="AD134" s="791"/>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9</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79</v>
      </c>
      <c r="AG134" s="114"/>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7"/>
      <c r="J135" s="114"/>
      <c r="K135" s="116">
        <v>14</v>
      </c>
      <c r="L135" s="114">
        <v>34</v>
      </c>
      <c r="M135" s="116"/>
      <c r="N135" s="114"/>
      <c r="O135" s="116">
        <v>16</v>
      </c>
      <c r="P135" s="114"/>
      <c r="Q135" s="114" t="s">
        <v>1033</v>
      </c>
      <c r="R135" s="114"/>
      <c r="S135" s="114" t="s">
        <v>667</v>
      </c>
      <c r="T135" s="114">
        <v>115</v>
      </c>
      <c r="U135" s="116">
        <v>214</v>
      </c>
      <c r="V135" s="155">
        <f t="shared" si="12"/>
        <v>164.5</v>
      </c>
      <c r="W135" s="155">
        <v>1.7</v>
      </c>
      <c r="X135" s="124">
        <f t="shared" si="13"/>
        <v>96.764705882352942</v>
      </c>
      <c r="Y135" s="114" t="s">
        <v>911</v>
      </c>
      <c r="Z135" s="114"/>
      <c r="AA135" s="114"/>
      <c r="AB135" s="114"/>
      <c r="AC135" s="10"/>
      <c r="AD135" s="791"/>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2"/>
        <v>253.5</v>
      </c>
      <c r="W136" s="155">
        <v>2.6</v>
      </c>
      <c r="X136" s="124">
        <f t="shared" si="13"/>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2"/>
        <v>270.5</v>
      </c>
      <c r="W137" s="155">
        <v>2.7</v>
      </c>
      <c r="X137" s="124">
        <f t="shared" si="13"/>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7"/>
      <c r="J138" s="114"/>
      <c r="K138" s="116"/>
      <c r="L138" s="114">
        <v>16</v>
      </c>
      <c r="M138" s="116"/>
      <c r="N138" s="114"/>
      <c r="O138" s="116"/>
      <c r="P138" s="114"/>
      <c r="Q138" s="114" t="s">
        <v>1033</v>
      </c>
      <c r="R138" s="114"/>
      <c r="S138" s="114" t="s">
        <v>685</v>
      </c>
      <c r="T138" s="114">
        <v>140</v>
      </c>
      <c r="U138" s="116">
        <v>261</v>
      </c>
      <c r="V138" s="155">
        <f t="shared" si="12"/>
        <v>200.5</v>
      </c>
      <c r="W138" s="155">
        <v>2.4</v>
      </c>
      <c r="X138" s="124">
        <f t="shared" si="13"/>
        <v>83.541666666666671</v>
      </c>
      <c r="Y138" s="114" t="s">
        <v>911</v>
      </c>
      <c r="Z138" s="114"/>
      <c r="AA138" s="114"/>
      <c r="AB138" s="114"/>
      <c r="AC138" s="10"/>
      <c r="AD138" s="791"/>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10</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80</v>
      </c>
      <c r="AG138" s="114"/>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2"/>
        <v>150.5</v>
      </c>
      <c r="W139" s="155">
        <v>1.5</v>
      </c>
      <c r="X139" s="124">
        <f t="shared" si="13"/>
        <v>100.33333333333333</v>
      </c>
      <c r="Y139" s="114" t="s">
        <v>911</v>
      </c>
      <c r="Z139" s="114"/>
      <c r="AA139" s="114"/>
      <c r="AB139" s="114"/>
      <c r="AC139" s="10"/>
      <c r="AD139" s="791"/>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7"/>
      <c r="J140" s="114"/>
      <c r="K140" s="116"/>
      <c r="L140" s="114"/>
      <c r="M140" s="116"/>
      <c r="N140" s="114"/>
      <c r="O140" s="116"/>
      <c r="P140" s="114"/>
      <c r="Q140" s="114" t="s">
        <v>1033</v>
      </c>
      <c r="R140" s="114"/>
      <c r="S140" s="114" t="s">
        <v>683</v>
      </c>
      <c r="T140" s="114">
        <v>196</v>
      </c>
      <c r="U140" s="116">
        <v>365</v>
      </c>
      <c r="V140" s="155">
        <f t="shared" si="12"/>
        <v>280.5</v>
      </c>
      <c r="W140" s="155">
        <v>2.8</v>
      </c>
      <c r="X140" s="124">
        <f t="shared" si="13"/>
        <v>100.17857142857143</v>
      </c>
      <c r="Y140" s="114" t="s">
        <v>911</v>
      </c>
      <c r="Z140" s="114"/>
      <c r="AA140" s="114"/>
      <c r="AB140" s="114"/>
      <c r="AC140" s="10" t="s">
        <v>616</v>
      </c>
      <c r="AD140" s="791"/>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7"/>
      <c r="J141" s="114"/>
      <c r="K141" s="116"/>
      <c r="L141" s="114">
        <v>21</v>
      </c>
      <c r="M141" s="116"/>
      <c r="N141" s="114"/>
      <c r="O141" s="116"/>
      <c r="P141" s="114"/>
      <c r="Q141" s="114" t="s">
        <v>1033</v>
      </c>
      <c r="R141" s="114"/>
      <c r="S141" s="114" t="s">
        <v>675</v>
      </c>
      <c r="T141" s="114">
        <v>125</v>
      </c>
      <c r="U141" s="116">
        <v>233</v>
      </c>
      <c r="V141" s="155">
        <f t="shared" si="12"/>
        <v>179</v>
      </c>
      <c r="W141" s="155">
        <v>2.5</v>
      </c>
      <c r="X141" s="124">
        <f t="shared" si="13"/>
        <v>71.599999999999994</v>
      </c>
      <c r="Y141" s="114" t="s">
        <v>911</v>
      </c>
      <c r="Z141" s="114"/>
      <c r="AA141" s="114"/>
      <c r="AB141" s="114"/>
      <c r="AC141" s="10"/>
      <c r="AD141" s="791"/>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7"/>
      <c r="J142" s="114"/>
      <c r="K142" s="116"/>
      <c r="L142" s="114">
        <v>21</v>
      </c>
      <c r="M142" s="116"/>
      <c r="N142" s="114"/>
      <c r="O142" s="116"/>
      <c r="P142" s="114"/>
      <c r="Q142" s="114" t="s">
        <v>1033</v>
      </c>
      <c r="R142" s="114"/>
      <c r="S142" s="114" t="s">
        <v>675</v>
      </c>
      <c r="T142" s="114">
        <v>125</v>
      </c>
      <c r="U142" s="116">
        <v>233</v>
      </c>
      <c r="V142" s="155">
        <f t="shared" si="12"/>
        <v>179</v>
      </c>
      <c r="W142" s="155">
        <v>2.5</v>
      </c>
      <c r="X142" s="124">
        <f t="shared" si="13"/>
        <v>71.599999999999994</v>
      </c>
      <c r="Y142" s="114" t="s">
        <v>911</v>
      </c>
      <c r="Z142" s="114"/>
      <c r="AA142" s="114"/>
      <c r="AB142" s="114"/>
      <c r="AC142" s="10"/>
      <c r="AD142" s="791"/>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7"/>
      <c r="J143" s="114"/>
      <c r="K143" s="116"/>
      <c r="L143" s="114">
        <v>21</v>
      </c>
      <c r="M143" s="116"/>
      <c r="N143" s="114"/>
      <c r="O143" s="116">
        <v>14</v>
      </c>
      <c r="P143" s="114"/>
      <c r="Q143" s="114" t="s">
        <v>1033</v>
      </c>
      <c r="R143" s="114"/>
      <c r="S143" s="114" t="s">
        <v>675</v>
      </c>
      <c r="T143" s="114">
        <v>125</v>
      </c>
      <c r="U143" s="116">
        <v>233</v>
      </c>
      <c r="V143" s="155">
        <f t="shared" si="12"/>
        <v>179</v>
      </c>
      <c r="W143" s="155">
        <v>2.5</v>
      </c>
      <c r="X143" s="124">
        <f t="shared" si="13"/>
        <v>71.599999999999994</v>
      </c>
      <c r="Y143" s="114" t="s">
        <v>911</v>
      </c>
      <c r="Z143" s="114"/>
      <c r="AA143" s="114"/>
      <c r="AB143" s="114"/>
      <c r="AC143" s="10"/>
      <c r="AD143" s="791"/>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7"/>
      <c r="J144" s="114"/>
      <c r="K144" s="116"/>
      <c r="L144" s="114">
        <v>21</v>
      </c>
      <c r="M144" s="116"/>
      <c r="N144" s="114"/>
      <c r="O144" s="116"/>
      <c r="P144" s="114"/>
      <c r="Q144" s="114" t="s">
        <v>1033</v>
      </c>
      <c r="R144" s="114"/>
      <c r="S144" s="114" t="s">
        <v>675</v>
      </c>
      <c r="T144" s="114">
        <v>125</v>
      </c>
      <c r="U144" s="116">
        <v>233</v>
      </c>
      <c r="V144" s="155">
        <f t="shared" si="12"/>
        <v>179</v>
      </c>
      <c r="W144" s="155">
        <v>2.5</v>
      </c>
      <c r="X144" s="124">
        <f t="shared" si="13"/>
        <v>71.599999999999994</v>
      </c>
      <c r="Y144" s="114" t="s">
        <v>911</v>
      </c>
      <c r="Z144" s="114"/>
      <c r="AA144" s="114"/>
      <c r="AB144" s="114"/>
      <c r="AC144" s="10"/>
      <c r="AD144" s="791"/>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54"/>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7"/>
      <c r="J145" s="114"/>
      <c r="K145" s="116">
        <v>19</v>
      </c>
      <c r="L145" s="114">
        <v>25</v>
      </c>
      <c r="M145" s="116"/>
      <c r="N145" s="114"/>
      <c r="O145" s="116"/>
      <c r="P145" s="114"/>
      <c r="Q145" s="114" t="s">
        <v>1033</v>
      </c>
      <c r="R145" s="114"/>
      <c r="S145" s="114" t="s">
        <v>673</v>
      </c>
      <c r="T145" s="114">
        <v>100</v>
      </c>
      <c r="U145" s="116">
        <v>187</v>
      </c>
      <c r="V145" s="155">
        <f t="shared" si="12"/>
        <v>143.5</v>
      </c>
      <c r="W145" s="155">
        <v>2</v>
      </c>
      <c r="X145" s="124">
        <f t="shared" si="13"/>
        <v>71.75</v>
      </c>
      <c r="Y145" s="114" t="s">
        <v>911</v>
      </c>
      <c r="Z145" s="114"/>
      <c r="AA145" s="114"/>
      <c r="AB145" s="114"/>
      <c r="AC145" s="10"/>
      <c r="AD145" s="791"/>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11</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81</v>
      </c>
      <c r="AG145" s="114"/>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7"/>
      <c r="J146" s="114"/>
      <c r="K146" s="116"/>
      <c r="L146" s="114">
        <v>19</v>
      </c>
      <c r="M146" s="116"/>
      <c r="N146" s="114"/>
      <c r="O146" s="116">
        <v>15</v>
      </c>
      <c r="P146" s="114"/>
      <c r="Q146" s="114" t="s">
        <v>1033</v>
      </c>
      <c r="R146" s="114"/>
      <c r="S146" s="114" t="s">
        <v>691</v>
      </c>
      <c r="T146" s="114">
        <v>90</v>
      </c>
      <c r="U146" s="116">
        <v>168</v>
      </c>
      <c r="V146" s="155">
        <f t="shared" si="12"/>
        <v>129</v>
      </c>
      <c r="W146" s="155">
        <v>1.8</v>
      </c>
      <c r="X146" s="124">
        <f t="shared" si="13"/>
        <v>71.666666666666671</v>
      </c>
      <c r="Y146" s="114" t="s">
        <v>911</v>
      </c>
      <c r="Z146" s="114"/>
      <c r="AA146" s="114"/>
      <c r="AB146" s="114"/>
      <c r="AC146" s="10"/>
      <c r="AD146" s="791"/>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12</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82</v>
      </c>
      <c r="AG146" s="114"/>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7"/>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1"/>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20">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1"/>
      <c r="AE148" s="114">
        <f>MAX($AE$121:AE147)+1</f>
        <v>13</v>
      </c>
      <c r="AF148" s="114">
        <f>MAX(AF$1:AF147)+1</f>
        <v>83</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7" t="str">
        <f>" "</f>
        <v xml:space="preserve"> </v>
      </c>
      <c r="B149" s="833"/>
      <c r="C149" s="833"/>
      <c r="D149" s="827"/>
      <c r="E149" s="827"/>
      <c r="F149" s="827"/>
      <c r="G149" s="843"/>
      <c r="H149" s="843"/>
      <c r="I149" s="834"/>
      <c r="J149" s="827"/>
      <c r="K149" s="833"/>
      <c r="L149" s="827"/>
      <c r="M149" s="833"/>
      <c r="N149" s="827"/>
      <c r="O149" s="833"/>
      <c r="P149" s="827"/>
      <c r="Q149" s="827"/>
      <c r="R149" s="827"/>
      <c r="S149" s="827"/>
      <c r="T149" s="827"/>
      <c r="U149" s="833"/>
      <c r="V149" s="827"/>
      <c r="W149" s="827"/>
      <c r="X149" s="827"/>
      <c r="Y149" s="827"/>
      <c r="Z149" s="827"/>
      <c r="AA149" s="827"/>
      <c r="AB149" s="827"/>
      <c r="AC149" s="835"/>
      <c r="AD149" s="836"/>
      <c r="AE149" s="827"/>
      <c r="AF149" s="827"/>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3" t="s">
        <v>1740</v>
      </c>
      <c r="B150" s="753" t="s">
        <v>1934</v>
      </c>
      <c r="C150" s="753" t="s">
        <v>2798</v>
      </c>
      <c r="D150" s="753" t="s">
        <v>1214</v>
      </c>
      <c r="E150" s="753" t="s">
        <v>1215</v>
      </c>
      <c r="F150" s="753" t="s">
        <v>768</v>
      </c>
      <c r="G150" s="754" t="s">
        <v>2140</v>
      </c>
      <c r="H150" s="754" t="s">
        <v>2139</v>
      </c>
      <c r="I150" s="817" t="s">
        <v>771</v>
      </c>
      <c r="J150" s="818" t="s">
        <v>1739</v>
      </c>
      <c r="K150" s="754" t="s">
        <v>760</v>
      </c>
      <c r="L150" s="753" t="s">
        <v>1216</v>
      </c>
      <c r="M150" s="754" t="s">
        <v>264</v>
      </c>
      <c r="N150" s="754" t="s">
        <v>1217</v>
      </c>
      <c r="O150" s="754" t="s">
        <v>1287</v>
      </c>
      <c r="P150" s="753" t="s">
        <v>1221</v>
      </c>
      <c r="Q150" s="731" t="s">
        <v>1032</v>
      </c>
      <c r="R150" s="731" t="s">
        <v>1941</v>
      </c>
      <c r="S150" s="753" t="s">
        <v>666</v>
      </c>
      <c r="T150" s="819" t="s">
        <v>1222</v>
      </c>
      <c r="U150" s="754" t="s">
        <v>1223</v>
      </c>
      <c r="V150" s="819" t="s">
        <v>1705</v>
      </c>
      <c r="W150" s="819" t="s">
        <v>146</v>
      </c>
      <c r="X150" s="753" t="s">
        <v>1538</v>
      </c>
      <c r="Y150" s="753" t="s">
        <v>1225</v>
      </c>
      <c r="Z150" s="753" t="s">
        <v>564</v>
      </c>
      <c r="AA150" s="753" t="s">
        <v>565</v>
      </c>
      <c r="AB150" s="753" t="s">
        <v>566</v>
      </c>
      <c r="AC150" s="740" t="s">
        <v>567</v>
      </c>
      <c r="AD150" s="819"/>
      <c r="AE150" s="744">
        <v>0</v>
      </c>
      <c r="AF150" s="744">
        <v>0</v>
      </c>
      <c r="AG150" s="114"/>
    </row>
    <row r="151" spans="1:48" ht="12" thickBot="1">
      <c r="A151" s="837" t="s">
        <v>2057</v>
      </c>
      <c r="B151" s="839"/>
      <c r="C151" s="839"/>
      <c r="D151" s="743"/>
      <c r="E151" s="743"/>
      <c r="F151" s="743"/>
      <c r="G151" s="743"/>
      <c r="H151" s="743"/>
      <c r="I151" s="838"/>
      <c r="J151" s="743"/>
      <c r="K151" s="839"/>
      <c r="L151" s="743"/>
      <c r="M151" s="839"/>
      <c r="N151" s="743"/>
      <c r="O151" s="839"/>
      <c r="P151" s="743"/>
      <c r="Q151" s="743" t="s">
        <v>1033</v>
      </c>
      <c r="R151" s="743"/>
      <c r="S151" s="743"/>
      <c r="T151" s="841"/>
      <c r="U151" s="839"/>
      <c r="V151" s="841"/>
      <c r="W151" s="841"/>
      <c r="X151" s="743"/>
      <c r="Y151" s="743"/>
      <c r="Z151" s="743"/>
      <c r="AA151" s="743"/>
      <c r="AB151" s="743"/>
      <c r="AC151" s="842"/>
      <c r="AD151" s="841"/>
      <c r="AE151" s="743">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9"/>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9"/>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4">(U154+T154)/2</f>
        <v>140</v>
      </c>
      <c r="W154" s="155">
        <v>1.6</v>
      </c>
      <c r="X154" s="124">
        <f t="shared" ref="X154:X208" si="15">V154/W154</f>
        <v>87.5</v>
      </c>
      <c r="Y154" s="114" t="s">
        <v>2269</v>
      </c>
      <c r="Z154" s="114"/>
      <c r="AA154" s="114"/>
      <c r="AB154" s="114"/>
      <c r="AC154" s="289"/>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7"/>
      <c r="J155" s="114"/>
      <c r="K155" s="116"/>
      <c r="L155" s="114">
        <v>12</v>
      </c>
      <c r="M155" s="116"/>
      <c r="N155" s="114"/>
      <c r="O155" s="116"/>
      <c r="P155" s="114"/>
      <c r="Q155" s="114" t="s">
        <v>1033</v>
      </c>
      <c r="R155" s="114"/>
      <c r="S155" s="114" t="s">
        <v>676</v>
      </c>
      <c r="T155" s="114">
        <v>90</v>
      </c>
      <c r="U155" s="116">
        <v>168</v>
      </c>
      <c r="V155" s="155">
        <f t="shared" si="14"/>
        <v>129</v>
      </c>
      <c r="W155" s="155">
        <v>1.8</v>
      </c>
      <c r="X155" s="124">
        <f t="shared" si="15"/>
        <v>71.666666666666671</v>
      </c>
      <c r="Y155" s="124" t="s">
        <v>2269</v>
      </c>
      <c r="Z155" s="114"/>
      <c r="AA155" s="114"/>
      <c r="AB155" s="114"/>
      <c r="AC155" s="289"/>
      <c r="AD155" s="791"/>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7"/>
      <c r="J156" s="114"/>
      <c r="K156" s="116"/>
      <c r="L156" s="114"/>
      <c r="M156" s="116"/>
      <c r="N156" s="114"/>
      <c r="O156" s="116"/>
      <c r="P156" s="114"/>
      <c r="Q156" s="114" t="s">
        <v>1033</v>
      </c>
      <c r="R156" s="114"/>
      <c r="S156" s="114" t="s">
        <v>675</v>
      </c>
      <c r="T156" s="114">
        <v>84</v>
      </c>
      <c r="U156" s="116">
        <v>157</v>
      </c>
      <c r="V156" s="155">
        <f t="shared" si="14"/>
        <v>120.5</v>
      </c>
      <c r="W156" s="155">
        <v>1.8</v>
      </c>
      <c r="X156" s="124">
        <f t="shared" si="15"/>
        <v>66.944444444444443</v>
      </c>
      <c r="Y156" s="124" t="s">
        <v>2269</v>
      </c>
      <c r="Z156" s="114"/>
      <c r="AA156" s="114"/>
      <c r="AB156" s="114"/>
      <c r="AC156" s="289"/>
      <c r="AD156" s="791"/>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7"/>
      <c r="J157" s="114">
        <v>210</v>
      </c>
      <c r="K157" s="116"/>
      <c r="L157" s="114"/>
      <c r="M157" s="116"/>
      <c r="N157" s="114"/>
      <c r="O157" s="116"/>
      <c r="P157" s="114"/>
      <c r="Q157" s="114" t="s">
        <v>1033</v>
      </c>
      <c r="R157" s="114"/>
      <c r="S157" s="114" t="s">
        <v>684</v>
      </c>
      <c r="T157" s="114">
        <v>144</v>
      </c>
      <c r="U157" s="116">
        <v>217</v>
      </c>
      <c r="V157" s="155">
        <f t="shared" si="14"/>
        <v>180.5</v>
      </c>
      <c r="W157" s="155">
        <v>1.8</v>
      </c>
      <c r="X157" s="124">
        <f t="shared" si="15"/>
        <v>100.27777777777777</v>
      </c>
      <c r="Y157" s="124" t="s">
        <v>2269</v>
      </c>
      <c r="Z157" s="114"/>
      <c r="AA157" s="114"/>
      <c r="AB157" s="114"/>
      <c r="AC157" s="289"/>
      <c r="AD157" s="791"/>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7"/>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9"/>
      <c r="AD158" s="791"/>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7"/>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9"/>
      <c r="AD159" s="791"/>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7"/>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9"/>
      <c r="AD160" s="791"/>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Claw of the Netherwing Flight</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16">(U161+T161)/2</f>
        <v>129</v>
      </c>
      <c r="W161" s="155">
        <v>1.8</v>
      </c>
      <c r="X161" s="124">
        <f t="shared" ref="X161:X163" si="17">V161/W161</f>
        <v>71.666666666666671</v>
      </c>
      <c r="Y161" s="114" t="s">
        <v>2269</v>
      </c>
      <c r="Z161" s="114"/>
      <c r="AA161" s="114"/>
      <c r="AB161" s="114"/>
      <c r="AC161" s="289"/>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Death's Sting</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16"/>
        <v>106.5</v>
      </c>
      <c r="W162" s="155">
        <v>1.7</v>
      </c>
      <c r="X162" s="124">
        <f t="shared" si="17"/>
        <v>62.647058823529413</v>
      </c>
      <c r="Y162" s="114" t="s">
        <v>2269</v>
      </c>
      <c r="Z162" s="114"/>
      <c r="AA162" s="114"/>
      <c r="AB162" s="114"/>
      <c r="AC162" s="289"/>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Dirge</v>
      </c>
    </row>
    <row r="163" spans="1:48">
      <c r="A163" s="10" t="s">
        <v>2846</v>
      </c>
      <c r="B163" s="114">
        <v>31492</v>
      </c>
      <c r="C163" s="114">
        <v>1</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16"/>
        <v>119.5</v>
      </c>
      <c r="W163" s="155">
        <v>1.8</v>
      </c>
      <c r="X163" s="124">
        <f t="shared" si="17"/>
        <v>66.388888888888886</v>
      </c>
      <c r="Y163" s="114" t="s">
        <v>2269</v>
      </c>
      <c r="Z163" s="114"/>
      <c r="AA163" s="114"/>
      <c r="AB163" s="114"/>
      <c r="AC163" s="289"/>
      <c r="AD163" s="114"/>
      <c r="AE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7</v>
      </c>
      <c r="AF163" s="114">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7</v>
      </c>
      <c r="AG163" s="114"/>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Emerald Ripper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4"/>
        <v>205.5</v>
      </c>
      <c r="W164" s="155">
        <v>1.8</v>
      </c>
      <c r="X164" s="124">
        <f t="shared" si="15"/>
        <v>114.16666666666666</v>
      </c>
      <c r="Y164" s="114" t="s">
        <v>2269</v>
      </c>
      <c r="Z164" s="114"/>
      <c r="AA164" s="114"/>
      <c r="AB164" s="114"/>
      <c r="AC164" s="289"/>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Feltooth Eviscerator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4"/>
        <v>129</v>
      </c>
      <c r="W165" s="155">
        <v>1.8</v>
      </c>
      <c r="X165" s="124">
        <f t="shared" si="15"/>
        <v>71.666666666666671</v>
      </c>
      <c r="Y165" s="114" t="s">
        <v>2269</v>
      </c>
      <c r="Z165" s="114"/>
      <c r="AA165" s="114"/>
      <c r="AB165" s="114"/>
      <c r="AC165" s="289"/>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Shanker</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4"/>
        <v>172</v>
      </c>
      <c r="W166" s="155">
        <v>1.8</v>
      </c>
      <c r="X166" s="124">
        <f t="shared" si="15"/>
        <v>95.555555555555557</v>
      </c>
      <c r="Y166" s="114" t="s">
        <v>2269</v>
      </c>
      <c r="Z166" s="114"/>
      <c r="AA166" s="114"/>
      <c r="AB166" s="114"/>
      <c r="AC166" s="289"/>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Gladiator's Shiv</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4"/>
        <v>119.5</v>
      </c>
      <c r="W167" s="155">
        <v>1.8</v>
      </c>
      <c r="X167" s="124">
        <f t="shared" si="15"/>
        <v>66.388888888888886</v>
      </c>
      <c r="Y167" s="114" t="s">
        <v>2269</v>
      </c>
      <c r="AC167" s="289"/>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8</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8</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Shanker</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4"/>
        <v>116.5</v>
      </c>
      <c r="W168" s="155">
        <v>1.4</v>
      </c>
      <c r="X168" s="124">
        <f t="shared" si="15"/>
        <v>83.214285714285722</v>
      </c>
      <c r="Y168" s="114" t="s">
        <v>2269</v>
      </c>
      <c r="AC168" s="289"/>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9</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9</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Grand Marshal's Shiv</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4"/>
        <v>113.5</v>
      </c>
      <c r="W169" s="155">
        <v>1.3</v>
      </c>
      <c r="X169" s="124">
        <f t="shared" si="15"/>
        <v>87.307692307692307</v>
      </c>
      <c r="Y169" s="114" t="s">
        <v>2269</v>
      </c>
      <c r="Z169" s="114"/>
      <c r="AA169" s="114"/>
      <c r="AB169" s="114"/>
      <c r="AC169" s="289"/>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Guile of Khoraazi</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4"/>
        <v>157.5</v>
      </c>
      <c r="W170" s="155">
        <v>1.8</v>
      </c>
      <c r="X170" s="124">
        <f t="shared" si="15"/>
        <v>87.5</v>
      </c>
      <c r="Y170" s="114" t="s">
        <v>2269</v>
      </c>
      <c r="Z170" s="114"/>
      <c r="AA170" s="114"/>
      <c r="AB170" s="114"/>
      <c r="AC170" s="289"/>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10</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10</v>
      </c>
      <c r="AG170" s="114"/>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Harbinger of Doom</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4"/>
        <v>162</v>
      </c>
      <c r="W171" s="155">
        <v>1.5</v>
      </c>
      <c r="X171" s="124">
        <f t="shared" si="15"/>
        <v>108</v>
      </c>
      <c r="Y171" s="114" t="s">
        <v>2269</v>
      </c>
      <c r="Z171" s="114"/>
      <c r="AA171" s="114"/>
      <c r="AB171" s="114"/>
      <c r="AC171" s="289"/>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Shanker</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4"/>
        <v>180.5</v>
      </c>
      <c r="W172" s="155">
        <v>1.8</v>
      </c>
      <c r="X172" s="124">
        <f t="shared" si="15"/>
        <v>100.27777777777777</v>
      </c>
      <c r="Y172" s="114" t="s">
        <v>2269</v>
      </c>
      <c r="Z172" s="114"/>
      <c r="AA172" s="114"/>
      <c r="AB172" s="114"/>
      <c r="AC172" s="289"/>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High Warlord's Shiv</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4"/>
        <v>119.5</v>
      </c>
      <c r="W173" s="155">
        <v>1.4</v>
      </c>
      <c r="X173" s="124">
        <f t="shared" si="15"/>
        <v>85.357142857142861</v>
      </c>
      <c r="Y173" s="114" t="s">
        <v>2269</v>
      </c>
      <c r="Z173" s="114"/>
      <c r="AA173" s="114"/>
      <c r="AB173" s="114"/>
      <c r="AC173" s="289"/>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11</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11</v>
      </c>
      <c r="AG173" s="114"/>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Hungering Spineripper</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4"/>
        <v>164</v>
      </c>
      <c r="W174" s="155">
        <v>1.8</v>
      </c>
      <c r="X174" s="124">
        <f t="shared" si="15"/>
        <v>91.111111111111114</v>
      </c>
      <c r="Y174" s="114" t="s">
        <v>2269</v>
      </c>
      <c r="Z174" s="114"/>
      <c r="AA174" s="114"/>
      <c r="AB174" s="114"/>
      <c r="AC174" s="289"/>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12</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12</v>
      </c>
      <c r="AG174" s="114"/>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Kingsfall</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4"/>
        <v>127.5</v>
      </c>
      <c r="W175" s="155">
        <v>1.4</v>
      </c>
      <c r="X175" s="124">
        <f t="shared" si="15"/>
        <v>91.071428571428584</v>
      </c>
      <c r="Y175" s="114" t="s">
        <v>2269</v>
      </c>
      <c r="Z175" s="114"/>
      <c r="AA175" s="114"/>
      <c r="AB175" s="114"/>
      <c r="AC175" s="289"/>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13</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13</v>
      </c>
      <c r="AG175" s="114"/>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Malchazeen</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4"/>
        <v>129</v>
      </c>
      <c r="W176" s="155">
        <v>1.8</v>
      </c>
      <c r="X176" s="124">
        <f t="shared" si="15"/>
        <v>71.666666666666671</v>
      </c>
      <c r="Y176" s="114" t="s">
        <v>2269</v>
      </c>
      <c r="Z176" s="114"/>
      <c r="AA176" s="114"/>
      <c r="AB176" s="114"/>
      <c r="AC176" s="289"/>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14</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14</v>
      </c>
      <c r="AG176" s="114"/>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Retainer's Blade</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4"/>
        <v>100.5</v>
      </c>
      <c r="W177" s="155">
        <v>1.4</v>
      </c>
      <c r="X177" s="124">
        <f t="shared" si="15"/>
        <v>71.785714285714292</v>
      </c>
      <c r="Y177" s="124" t="s">
        <v>2269</v>
      </c>
      <c r="Z177" s="124"/>
      <c r="AA177" s="124"/>
      <c r="AB177" s="124"/>
      <c r="AC177" s="289"/>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15</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15</v>
      </c>
      <c r="AG177" s="114"/>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Riftmaker</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4"/>
        <v>130</v>
      </c>
      <c r="W178" s="155">
        <v>1.6</v>
      </c>
      <c r="X178" s="124">
        <f t="shared" si="15"/>
        <v>81.25</v>
      </c>
      <c r="Y178" s="114" t="s">
        <v>2269</v>
      </c>
      <c r="Z178" s="114"/>
      <c r="AA178" s="114"/>
      <c r="AB178" s="114"/>
      <c r="AC178" s="289"/>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16</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16</v>
      </c>
      <c r="AG178" s="114"/>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4"/>
        <v>104.5</v>
      </c>
      <c r="W179" s="155">
        <v>1.6</v>
      </c>
      <c r="X179" s="124">
        <f t="shared" si="15"/>
        <v>65.3125</v>
      </c>
      <c r="Y179" s="114" t="s">
        <v>2269</v>
      </c>
      <c r="Z179" s="114"/>
      <c r="AA179" s="114"/>
      <c r="AB179" s="114"/>
      <c r="AC179" s="289"/>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17</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17</v>
      </c>
      <c r="AG179" s="114"/>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1033</v>
      </c>
      <c r="R180" s="114"/>
      <c r="S180" s="114" t="s">
        <v>680</v>
      </c>
      <c r="T180" s="114">
        <v>121</v>
      </c>
      <c r="U180" s="116">
        <v>226</v>
      </c>
      <c r="V180" s="155">
        <f t="shared" si="14"/>
        <v>173.5</v>
      </c>
      <c r="W180" s="155">
        <v>1.8</v>
      </c>
      <c r="X180" s="124">
        <f t="shared" si="15"/>
        <v>96.388888888888886</v>
      </c>
      <c r="Y180" s="114" t="s">
        <v>2269</v>
      </c>
      <c r="Z180" s="114"/>
      <c r="AA180" s="114"/>
      <c r="AB180" s="114"/>
      <c r="AC180" s="289"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4"/>
        <v>129</v>
      </c>
      <c r="W181" s="155">
        <v>1.8</v>
      </c>
      <c r="X181" s="124">
        <f t="shared" si="15"/>
        <v>71.666666666666671</v>
      </c>
      <c r="Y181" s="114" t="s">
        <v>2269</v>
      </c>
      <c r="Z181" s="114"/>
      <c r="AA181" s="114"/>
      <c r="AB181" s="114"/>
      <c r="AC181" s="289"/>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18</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18</v>
      </c>
      <c r="AG181" s="114"/>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4"/>
        <v>100.5</v>
      </c>
      <c r="W182" s="155">
        <v>1.4</v>
      </c>
      <c r="X182" s="124">
        <f t="shared" si="15"/>
        <v>71.785714285714292</v>
      </c>
      <c r="Y182" s="124" t="s">
        <v>2269</v>
      </c>
      <c r="Z182" s="124"/>
      <c r="AA182" s="124"/>
      <c r="AB182" s="124"/>
      <c r="AC182" s="289"/>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19</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19</v>
      </c>
      <c r="AG182" s="114"/>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4"/>
        <v>129</v>
      </c>
      <c r="W183" s="155">
        <v>1.8</v>
      </c>
      <c r="X183" s="124">
        <f t="shared" si="15"/>
        <v>71.666666666666671</v>
      </c>
      <c r="Y183" s="114" t="s">
        <v>2269</v>
      </c>
      <c r="Z183" s="114"/>
      <c r="AA183" s="114"/>
      <c r="AB183" s="114"/>
      <c r="AC183" s="289"/>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20</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20</v>
      </c>
      <c r="AG183" s="114"/>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4"/>
        <v>244.5</v>
      </c>
      <c r="W184" s="155">
        <v>2</v>
      </c>
      <c r="X184" s="124">
        <f t="shared" si="15"/>
        <v>122.25</v>
      </c>
      <c r="Y184" s="124" t="s">
        <v>2269</v>
      </c>
      <c r="Z184" s="124"/>
      <c r="AA184" s="124"/>
      <c r="AB184" s="124"/>
      <c r="AC184" s="289"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4"/>
        <v>131.5</v>
      </c>
      <c r="W185" s="155">
        <v>1.8</v>
      </c>
      <c r="X185" s="124">
        <f t="shared" si="15"/>
        <v>73.055555555555557</v>
      </c>
      <c r="Y185" s="114" t="s">
        <v>2269</v>
      </c>
      <c r="Z185" s="114"/>
      <c r="AA185" s="114"/>
      <c r="AB185" s="114"/>
      <c r="AC185" s="289"/>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21</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21</v>
      </c>
      <c r="AG185" s="114"/>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4"/>
        <v>165.5</v>
      </c>
      <c r="W186" s="155">
        <v>1.8</v>
      </c>
      <c r="X186" s="124">
        <f t="shared" si="15"/>
        <v>91.944444444444443</v>
      </c>
      <c r="Y186" s="114" t="s">
        <v>2269</v>
      </c>
      <c r="Z186" s="114"/>
      <c r="AA186" s="114"/>
      <c r="AB186" s="114"/>
      <c r="AC186" s="289"/>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22</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22</v>
      </c>
      <c r="AG186" s="114"/>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4"/>
        <v>175.5</v>
      </c>
      <c r="W187" s="155">
        <v>1.8</v>
      </c>
      <c r="X187" s="124">
        <f t="shared" si="15"/>
        <v>97.5</v>
      </c>
      <c r="Y187" s="114" t="s">
        <v>2269</v>
      </c>
      <c r="Z187" s="114"/>
      <c r="AA187" s="114"/>
      <c r="AB187" s="114"/>
      <c r="AC187" s="289"/>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4"/>
        <v>136.5</v>
      </c>
      <c r="W188" s="155">
        <v>1.4</v>
      </c>
      <c r="X188" s="124">
        <f t="shared" si="15"/>
        <v>97.5</v>
      </c>
      <c r="Y188" s="114" t="s">
        <v>2269</v>
      </c>
      <c r="Z188" s="114"/>
      <c r="AA188" s="114"/>
      <c r="AB188" s="114"/>
      <c r="AC188" s="289"/>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Blinkstrike</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4"/>
        <v>140.5</v>
      </c>
      <c r="W189" s="155">
        <v>1.4</v>
      </c>
      <c r="X189" s="124">
        <f t="shared" si="15"/>
        <v>100.35714285714286</v>
      </c>
      <c r="Y189" s="114" t="s">
        <v>2269</v>
      </c>
      <c r="Z189" s="114"/>
      <c r="AA189" s="114"/>
      <c r="AB189" s="114"/>
      <c r="AC189" s="289"/>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Edge of the Cosmos</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4"/>
        <v>143.5</v>
      </c>
      <c r="W190" s="155">
        <v>1.5</v>
      </c>
      <c r="X190" s="124">
        <f t="shared" si="15"/>
        <v>95.666666666666671</v>
      </c>
      <c r="Y190" s="114" t="s">
        <v>2269</v>
      </c>
      <c r="Z190" s="114"/>
      <c r="AA190" s="114"/>
      <c r="AB190" s="114"/>
      <c r="AC190" s="289"/>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Felsteel Longblade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4"/>
        <v>121.5</v>
      </c>
      <c r="W191" s="155">
        <v>1.5</v>
      </c>
      <c r="X191" s="124">
        <f t="shared" si="15"/>
        <v>81</v>
      </c>
      <c r="Y191" s="114" t="s">
        <v>2269</v>
      </c>
      <c r="Z191" s="114"/>
      <c r="AA191" s="114"/>
      <c r="AB191" s="114"/>
      <c r="AC191" s="289"/>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23</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23</v>
      </c>
      <c r="AG191" s="114"/>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Gladiator's Quickblade</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4"/>
        <v>146.5</v>
      </c>
      <c r="W192" s="155">
        <v>1.8</v>
      </c>
      <c r="X192" s="124">
        <f t="shared" si="15"/>
        <v>81.388888888888886</v>
      </c>
      <c r="Y192" s="114" t="s">
        <v>2269</v>
      </c>
      <c r="Z192" s="114"/>
      <c r="AA192" s="114"/>
      <c r="AB192" s="114"/>
      <c r="AC192" s="289"/>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24</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24</v>
      </c>
      <c r="AG192" s="114"/>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Gladiator's Slicer</v>
      </c>
    </row>
    <row r="193" spans="1:38">
      <c r="A193" s="10" t="s">
        <v>240</v>
      </c>
      <c r="B193" s="114">
        <v>29275</v>
      </c>
      <c r="C193" s="114">
        <v>3</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4"/>
        <v>111</v>
      </c>
      <c r="W193" s="155">
        <v>1.3</v>
      </c>
      <c r="X193" s="124">
        <f t="shared" si="15"/>
        <v>85.384615384615387</v>
      </c>
      <c r="Y193" s="114" t="s">
        <v>2269</v>
      </c>
      <c r="Z193" s="114"/>
      <c r="AA193" s="114"/>
      <c r="AB193" s="114"/>
      <c r="AC193" s="289"/>
      <c r="AD193" s="114"/>
      <c r="AE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
      </c>
      <c r="AF193" s="114" t="str">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
      </c>
      <c r="AG193" s="114"/>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Grand Marshal's Quickblade</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4"/>
        <v>201.5</v>
      </c>
      <c r="W194" s="155">
        <v>1.9</v>
      </c>
      <c r="X194" s="124">
        <f t="shared" si="15"/>
        <v>106.05263157894737</v>
      </c>
      <c r="Y194" s="114" t="s">
        <v>2269</v>
      </c>
      <c r="Z194" s="114"/>
      <c r="AA194" s="114"/>
      <c r="AB194" s="114"/>
      <c r="AC194" s="289"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Grand Marshal's Slicer</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9"/>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Gressil, Dawn of Ruin</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4"/>
        <v>154.5</v>
      </c>
      <c r="W196" s="155">
        <v>1.5</v>
      </c>
      <c r="X196" s="124">
        <f t="shared" si="15"/>
        <v>103</v>
      </c>
      <c r="Y196" s="114" t="s">
        <v>2269</v>
      </c>
      <c r="Z196" s="114"/>
      <c r="AA196" s="114"/>
      <c r="AB196" s="114"/>
      <c r="AC196" s="289"/>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High Warlord's Quickblade (60)</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4"/>
        <v>129</v>
      </c>
      <c r="W197" s="155">
        <v>1.8</v>
      </c>
      <c r="X197" s="124">
        <f t="shared" si="15"/>
        <v>71.666666666666671</v>
      </c>
      <c r="Y197" s="114" t="s">
        <v>2269</v>
      </c>
      <c r="Z197" s="114"/>
      <c r="AA197" s="114"/>
      <c r="AB197" s="114"/>
      <c r="AC197" s="289"/>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High Warlord's Quickblade</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9"/>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High Warlord's Slicer</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4"/>
        <v>146.5</v>
      </c>
      <c r="W199" s="155">
        <v>1.8</v>
      </c>
      <c r="X199" s="124">
        <f t="shared" si="15"/>
        <v>81.388888888888886</v>
      </c>
      <c r="Y199" s="114" t="s">
        <v>2269</v>
      </c>
      <c r="Z199" s="114"/>
      <c r="AA199" s="114"/>
      <c r="AB199" s="114"/>
      <c r="AC199" s="289"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Honor's Call</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4"/>
        <v>100.5</v>
      </c>
      <c r="W200" s="155">
        <v>1.4</v>
      </c>
      <c r="X200" s="124">
        <f t="shared" si="15"/>
        <v>71.785714285714292</v>
      </c>
      <c r="Y200" s="114" t="s">
        <v>2269</v>
      </c>
      <c r="Z200" s="114"/>
      <c r="AA200" s="114"/>
      <c r="AB200" s="114"/>
      <c r="AC200" s="289"/>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Hope Ender</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4"/>
        <v>150.5</v>
      </c>
      <c r="W201" s="155">
        <v>1.5</v>
      </c>
      <c r="X201" s="124">
        <f t="shared" si="15"/>
        <v>100.33333333333333</v>
      </c>
      <c r="Y201" s="114" t="s">
        <v>2269</v>
      </c>
      <c r="Z201" s="114"/>
      <c r="AA201" s="114"/>
      <c r="AB201" s="114"/>
      <c r="AC201" s="289"/>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Iblis, Blade of the Fallen Seraph</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4"/>
        <v>100.5</v>
      </c>
      <c r="W202" s="155">
        <v>1.4</v>
      </c>
      <c r="X202" s="124">
        <f t="shared" si="15"/>
        <v>71.785714285714292</v>
      </c>
      <c r="Y202" s="114" t="s">
        <v>2269</v>
      </c>
      <c r="Z202" s="114"/>
      <c r="AA202" s="114"/>
      <c r="AB202" s="114"/>
      <c r="AC202" s="289"/>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King's Defender</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4"/>
        <v>172</v>
      </c>
      <c r="W203" s="155">
        <v>1.8</v>
      </c>
      <c r="X203" s="124">
        <f t="shared" si="15"/>
        <v>95.555555555555557</v>
      </c>
      <c r="Y203" s="114" t="s">
        <v>2269</v>
      </c>
      <c r="Z203" s="114"/>
      <c r="AA203" s="114"/>
      <c r="AB203" s="114"/>
      <c r="AC203" s="289"/>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Latro's Shifting Sword</v>
      </c>
    </row>
    <row r="204" spans="1:38">
      <c r="A204" s="10" t="s">
        <v>1421</v>
      </c>
      <c r="B204" s="114">
        <v>33801</v>
      </c>
      <c r="C204" s="114">
        <v>3</v>
      </c>
      <c r="D204" s="114"/>
      <c r="E204" s="114"/>
      <c r="F204" s="114">
        <v>34</v>
      </c>
      <c r="G204" s="115">
        <v>21</v>
      </c>
      <c r="H204" s="115">
        <v>8</v>
      </c>
      <c r="I204" s="847"/>
      <c r="J204" s="114">
        <v>49</v>
      </c>
      <c r="K204" s="116"/>
      <c r="L204" s="114">
        <v>30</v>
      </c>
      <c r="M204" s="116"/>
      <c r="N204" s="114">
        <v>12</v>
      </c>
      <c r="O204" s="116"/>
      <c r="P204" s="114"/>
      <c r="Q204" s="114" t="s">
        <v>1033</v>
      </c>
      <c r="R204" s="114"/>
      <c r="S204" s="114" t="s">
        <v>677</v>
      </c>
      <c r="T204" s="114">
        <v>130</v>
      </c>
      <c r="U204" s="116">
        <v>241</v>
      </c>
      <c r="V204" s="155">
        <f t="shared" si="14"/>
        <v>185.5</v>
      </c>
      <c r="W204" s="155">
        <v>1.8</v>
      </c>
      <c r="X204" s="124">
        <f t="shared" si="15"/>
        <v>103.05555555555556</v>
      </c>
      <c r="Y204" s="114" t="s">
        <v>2269</v>
      </c>
      <c r="Z204" s="114"/>
      <c r="AA204" s="114"/>
      <c r="AB204" s="114"/>
      <c r="AC204" s="289"/>
      <c r="AD204" s="791"/>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Phosphorescent Blade</v>
      </c>
    </row>
    <row r="205" spans="1:38">
      <c r="A205" s="10" t="s">
        <v>1765</v>
      </c>
      <c r="B205" s="114">
        <v>33754</v>
      </c>
      <c r="C205" s="114">
        <v>3</v>
      </c>
      <c r="D205" s="114"/>
      <c r="E205" s="114"/>
      <c r="F205" s="114">
        <v>34</v>
      </c>
      <c r="G205" s="115">
        <v>21</v>
      </c>
      <c r="H205" s="115">
        <v>8</v>
      </c>
      <c r="I205" s="847"/>
      <c r="J205" s="114">
        <v>49</v>
      </c>
      <c r="K205" s="116"/>
      <c r="L205" s="114">
        <v>30</v>
      </c>
      <c r="M205" s="116"/>
      <c r="N205" s="114">
        <v>12</v>
      </c>
      <c r="O205" s="116"/>
      <c r="P205" s="114"/>
      <c r="Q205" s="114" t="s">
        <v>1033</v>
      </c>
      <c r="R205" s="114"/>
      <c r="S205" s="114" t="s">
        <v>677</v>
      </c>
      <c r="T205" s="114">
        <v>148</v>
      </c>
      <c r="U205" s="116">
        <v>223</v>
      </c>
      <c r="V205" s="155">
        <f t="shared" si="14"/>
        <v>185.5</v>
      </c>
      <c r="W205" s="155">
        <v>1.8</v>
      </c>
      <c r="X205" s="124">
        <f t="shared" si="15"/>
        <v>103.05555555555556</v>
      </c>
      <c r="Y205" s="114" t="s">
        <v>2269</v>
      </c>
      <c r="Z205" s="114"/>
      <c r="AA205" s="114"/>
      <c r="AB205" s="114"/>
      <c r="AC205" s="289"/>
      <c r="AD205" s="791"/>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Revenger</v>
      </c>
    </row>
    <row r="206" spans="1:38">
      <c r="A206" s="10" t="s">
        <v>1764</v>
      </c>
      <c r="B206" s="114">
        <v>33756</v>
      </c>
      <c r="C206" s="114">
        <v>3</v>
      </c>
      <c r="D206" s="114"/>
      <c r="E206" s="114"/>
      <c r="F206" s="114">
        <v>34</v>
      </c>
      <c r="G206" s="115">
        <v>21</v>
      </c>
      <c r="H206" s="115">
        <v>8</v>
      </c>
      <c r="I206" s="847"/>
      <c r="J206" s="114">
        <v>49</v>
      </c>
      <c r="K206" s="116"/>
      <c r="L206" s="114">
        <v>30</v>
      </c>
      <c r="M206" s="116"/>
      <c r="N206" s="114">
        <v>12</v>
      </c>
      <c r="O206" s="116"/>
      <c r="P206" s="114"/>
      <c r="Q206" s="114" t="s">
        <v>1033</v>
      </c>
      <c r="R206" s="114"/>
      <c r="S206" s="114" t="s">
        <v>677</v>
      </c>
      <c r="T206" s="114">
        <v>101</v>
      </c>
      <c r="U206" s="116">
        <v>188</v>
      </c>
      <c r="V206" s="155">
        <f t="shared" si="14"/>
        <v>144.5</v>
      </c>
      <c r="W206" s="155">
        <v>1.4</v>
      </c>
      <c r="X206" s="124">
        <f t="shared" si="15"/>
        <v>103.21428571428572</v>
      </c>
      <c r="Y206" s="114" t="s">
        <v>2269</v>
      </c>
      <c r="Z206" s="114"/>
      <c r="AA206" s="114"/>
      <c r="AB206" s="114"/>
      <c r="AC206" s="289"/>
      <c r="AD206" s="791"/>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Spiteblade</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4"/>
        <v>150.5</v>
      </c>
      <c r="W207" s="155">
        <v>1.8</v>
      </c>
      <c r="X207" s="124">
        <f t="shared" si="15"/>
        <v>83.611111111111114</v>
      </c>
      <c r="Y207" s="114" t="s">
        <v>2269</v>
      </c>
      <c r="Z207" s="114"/>
      <c r="AA207" s="114"/>
      <c r="AB207" s="114"/>
      <c r="AC207" s="289"/>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The Hungering Cold</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4"/>
        <v>93</v>
      </c>
      <c r="W208" s="155">
        <v>1.3</v>
      </c>
      <c r="X208" s="124">
        <f t="shared" si="15"/>
        <v>71.538461538461533</v>
      </c>
      <c r="Y208" s="115" t="s">
        <v>2269</v>
      </c>
      <c r="Z208" s="114"/>
      <c r="AA208" s="114"/>
      <c r="AB208" s="114"/>
      <c r="AC208" s="289"/>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The Sun Eater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9"/>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Thunderfury</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20">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9"/>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Vindicator's Brand</v>
      </c>
    </row>
    <row r="211" spans="1:38">
      <c r="A211" s="844" t="str">
        <f>" "</f>
        <v xml:space="preserve"> </v>
      </c>
      <c r="B211" s="833"/>
      <c r="C211" s="833"/>
      <c r="D211" s="827"/>
      <c r="E211" s="827"/>
      <c r="F211" s="827"/>
      <c r="G211" s="843"/>
      <c r="H211" s="843"/>
      <c r="I211" s="843"/>
      <c r="J211" s="827"/>
      <c r="K211" s="833"/>
      <c r="L211" s="827"/>
      <c r="M211" s="833"/>
      <c r="N211" s="827"/>
      <c r="O211" s="833"/>
      <c r="P211" s="827"/>
      <c r="Q211" s="827" t="s">
        <v>1033</v>
      </c>
      <c r="R211" s="827"/>
      <c r="S211" s="827"/>
      <c r="T211" s="827"/>
      <c r="U211" s="833"/>
      <c r="V211" s="845"/>
      <c r="W211" s="827"/>
      <c r="X211" s="846"/>
      <c r="Y211" s="827"/>
      <c r="Z211" s="827"/>
      <c r="AA211" s="827"/>
      <c r="AB211" s="827"/>
      <c r="AC211" s="835"/>
      <c r="AD211" s="827"/>
      <c r="AE211" s="827"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Warp-Storm Warblade</v>
      </c>
    </row>
    <row r="212" spans="1:38" ht="12" thickBot="1">
      <c r="A212" s="837" t="s">
        <v>1376</v>
      </c>
      <c r="B212" s="839"/>
      <c r="C212" s="839"/>
      <c r="D212" s="743"/>
      <c r="E212" s="743"/>
      <c r="F212" s="743"/>
      <c r="G212" s="838"/>
      <c r="H212" s="838"/>
      <c r="I212" s="838"/>
      <c r="J212" s="743"/>
      <c r="K212" s="839"/>
      <c r="L212" s="743"/>
      <c r="M212" s="839"/>
      <c r="N212" s="743"/>
      <c r="O212" s="839"/>
      <c r="P212" s="743"/>
      <c r="Q212" s="743" t="s">
        <v>1033</v>
      </c>
      <c r="R212" s="743"/>
      <c r="S212" s="743"/>
      <c r="T212" s="743"/>
      <c r="U212" s="839"/>
      <c r="V212" s="840"/>
      <c r="W212" s="743"/>
      <c r="X212" s="841"/>
      <c r="Y212" s="838"/>
      <c r="Z212" s="743"/>
      <c r="AA212" s="743"/>
      <c r="AB212" s="743"/>
      <c r="AC212" s="842"/>
      <c r="AD212" s="838"/>
      <c r="AE212" s="743">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(Unmodeled OH Sword)</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18">(U213+T213)/2</f>
        <v>143.5</v>
      </c>
      <c r="W213" s="155">
        <v>1.5</v>
      </c>
      <c r="X213" s="124">
        <f t="shared" ref="X213:X258" si="19">V213/W213</f>
        <v>95.666666666666671</v>
      </c>
      <c r="Y213" s="115" t="s">
        <v>1377</v>
      </c>
      <c r="Z213" s="114"/>
      <c r="AA213" s="114"/>
      <c r="AB213" s="114"/>
      <c r="AC213" s="289"/>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 xml:space="preserve"> </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18"/>
        <v>260.5</v>
      </c>
      <c r="W214" s="155">
        <v>2.6</v>
      </c>
      <c r="X214" s="124">
        <f t="shared" si="19"/>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(Fist Weapons)</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18"/>
        <v>140.5</v>
      </c>
      <c r="W215" s="155">
        <v>1.4</v>
      </c>
      <c r="X215" s="124">
        <f t="shared" si="19"/>
        <v>100.35714285714286</v>
      </c>
      <c r="Y215" s="115" t="s">
        <v>1377</v>
      </c>
      <c r="Z215" s="114"/>
      <c r="AA215" s="114"/>
      <c r="AB215" s="114"/>
      <c r="AC215" s="289"/>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Boggspine Knuckles</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18"/>
        <v>156</v>
      </c>
      <c r="W216" s="155">
        <v>1.6</v>
      </c>
      <c r="X216" s="124">
        <f t="shared" si="19"/>
        <v>97.5</v>
      </c>
      <c r="Y216" s="114" t="s">
        <v>1377</v>
      </c>
      <c r="Z216" s="114"/>
      <c r="AA216" s="114"/>
      <c r="AB216" s="114"/>
      <c r="AC216" s="10"/>
      <c r="AD216" s="114"/>
      <c r="AE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
      </c>
      <c r="AF216" s="114" t="str">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
      </c>
      <c r="AG216" s="114"/>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Claw of the Frost Wyrm</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18"/>
        <v>146</v>
      </c>
      <c r="W217" s="155">
        <v>1.6</v>
      </c>
      <c r="X217" s="124">
        <f t="shared" si="19"/>
        <v>91.25</v>
      </c>
      <c r="Y217" s="115" t="s">
        <v>1377</v>
      </c>
      <c r="Z217" s="114"/>
      <c r="AA217" s="114"/>
      <c r="AB217" s="114"/>
      <c r="AC217" s="289"/>
      <c r="AD217" s="115"/>
      <c r="AE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
      </c>
      <c r="AF217" s="114" t="str">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
      </c>
      <c r="AG217" s="114"/>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Gladiator's Left Ripper</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18"/>
        <v>211</v>
      </c>
      <c r="W218" s="155">
        <v>2.6</v>
      </c>
      <c r="X218" s="124">
        <f t="shared" si="19"/>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2</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35</v>
      </c>
      <c r="AG218" s="114"/>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Grand Marshal's Left Ripper</v>
      </c>
    </row>
    <row r="219" spans="1:38">
      <c r="A219" s="10" t="s">
        <v>2001</v>
      </c>
      <c r="B219" s="116">
        <v>35072</v>
      </c>
      <c r="C219" s="116">
        <v>5</v>
      </c>
      <c r="D219" s="114"/>
      <c r="E219" s="114"/>
      <c r="F219" s="114">
        <v>38</v>
      </c>
      <c r="G219" s="115">
        <v>22</v>
      </c>
      <c r="H219" s="115">
        <v>9</v>
      </c>
      <c r="I219" s="847"/>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9"/>
      <c r="AD219" s="791"/>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High Warlord's Left Ripper</v>
      </c>
    </row>
    <row r="220" spans="1:38">
      <c r="A220" s="10" t="s">
        <v>2002</v>
      </c>
      <c r="B220" s="116">
        <v>35101</v>
      </c>
      <c r="C220" s="116">
        <v>5</v>
      </c>
      <c r="D220" s="114"/>
      <c r="E220" s="114"/>
      <c r="F220" s="114">
        <v>38</v>
      </c>
      <c r="G220" s="115">
        <v>22</v>
      </c>
      <c r="H220" s="115">
        <v>9</v>
      </c>
      <c r="I220" s="847"/>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9"/>
      <c r="AD220" s="791"/>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Stormreaver Warblades</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18"/>
        <v>162</v>
      </c>
      <c r="W221" s="155">
        <v>1.5</v>
      </c>
      <c r="X221" s="124">
        <f t="shared" si="19"/>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(Unmodeled OH Fist)</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18"/>
        <v>186.5</v>
      </c>
      <c r="W222" s="155">
        <v>2.6</v>
      </c>
      <c r="X222" s="124">
        <f t="shared" si="19"/>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3</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36</v>
      </c>
      <c r="AG222" s="114"/>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 xml:space="preserve"> </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18"/>
        <v>183.5</v>
      </c>
      <c r="W223" s="155">
        <v>2.2000000000000002</v>
      </c>
      <c r="X223" s="124">
        <f t="shared" si="19"/>
        <v>83.409090909090907</v>
      </c>
      <c r="Y223" s="115" t="s">
        <v>1377</v>
      </c>
      <c r="Z223" s="114"/>
      <c r="AA223" s="114"/>
      <c r="AB223" s="114"/>
      <c r="AC223" s="289"/>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4</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37</v>
      </c>
      <c r="AG223" s="114"/>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(Maces)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18"/>
        <v>135</v>
      </c>
      <c r="W224" s="155">
        <v>1.6</v>
      </c>
      <c r="X224" s="124">
        <f t="shared" si="19"/>
        <v>84.375</v>
      </c>
      <c r="Y224" s="114" t="s">
        <v>1377</v>
      </c>
      <c r="Z224" s="114"/>
      <c r="AA224" s="114"/>
      <c r="AB224" s="114"/>
      <c r="AC224" s="10"/>
      <c r="AD224" s="114"/>
      <c r="AE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
      </c>
      <c r="AF224" s="114" t="str">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
      </c>
      <c r="AG224" s="114"/>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Blackout Truncheon</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18"/>
        <v>136.5</v>
      </c>
      <c r="W225" s="155">
        <v>1.5</v>
      </c>
      <c r="X225" s="124">
        <f t="shared" si="19"/>
        <v>91</v>
      </c>
      <c r="Y225" s="115" t="s">
        <v>1377</v>
      </c>
      <c r="Z225" s="114"/>
      <c r="AA225" s="114"/>
      <c r="AB225" s="114"/>
      <c r="AC225" s="289"/>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5</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38</v>
      </c>
      <c r="AG225" s="114"/>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Bloodskull Destroyer</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18"/>
        <v>237</v>
      </c>
      <c r="W226" s="155">
        <v>2.6</v>
      </c>
      <c r="X226" s="124">
        <f t="shared" si="19"/>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6</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39</v>
      </c>
      <c r="AG226" s="114"/>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Fool's Bane</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18"/>
        <v>129</v>
      </c>
      <c r="W227" s="155">
        <v>1.8</v>
      </c>
      <c r="X227" s="124">
        <f t="shared" si="19"/>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7</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40</v>
      </c>
      <c r="AG227" s="114"/>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Gladiator's Bonecracker</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18"/>
        <v>186.5</v>
      </c>
      <c r="W228" s="155">
        <v>2.6</v>
      </c>
      <c r="X228" s="124">
        <f t="shared" si="19"/>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8</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41</v>
      </c>
      <c r="AG228" s="114"/>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Gladiator's Pummeler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18"/>
        <v>197.5</v>
      </c>
      <c r="W229" s="155">
        <v>2.7</v>
      </c>
      <c r="X229" s="124">
        <f t="shared" si="19"/>
        <v>73.148148148148138</v>
      </c>
      <c r="Y229" s="115" t="s">
        <v>1377</v>
      </c>
      <c r="Z229" s="114"/>
      <c r="AA229" s="114"/>
      <c r="AB229" s="114"/>
      <c r="AC229" s="289"/>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9</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42</v>
      </c>
      <c r="AG229" s="114"/>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Grand Marshal's Bonecracker</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18"/>
        <v>248.5</v>
      </c>
      <c r="W230" s="155">
        <v>2.6</v>
      </c>
      <c r="X230" s="124">
        <f t="shared" si="19"/>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Grand Marshal's Pummeler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0">(U231+T231)/2</f>
        <v>107</v>
      </c>
      <c r="W231" s="155">
        <v>1.8</v>
      </c>
      <c r="X231" s="124">
        <f t="shared" ref="X231" si="21">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10</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43</v>
      </c>
      <c r="AG231" s="114"/>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High Warlord's Bonecracker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18"/>
        <v>129</v>
      </c>
      <c r="W232" s="155">
        <v>1.8</v>
      </c>
      <c r="X232" s="124">
        <f t="shared" si="19"/>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11</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44</v>
      </c>
      <c r="AG232" s="114"/>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High Warlord's Pummeler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18"/>
        <v>186.5</v>
      </c>
      <c r="W233" s="155">
        <v>2.6</v>
      </c>
      <c r="X233" s="124">
        <f t="shared" si="19"/>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12</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45</v>
      </c>
      <c r="AG233" s="114"/>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Runic Hammer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18"/>
        <v>146</v>
      </c>
      <c r="W234" s="155">
        <v>1.8</v>
      </c>
      <c r="X234" s="124">
        <f t="shared" si="19"/>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13</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46</v>
      </c>
      <c r="AG234" s="114"/>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Truncheon of Five Hells</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18"/>
        <v>233.5</v>
      </c>
      <c r="W235" s="155">
        <v>2.6</v>
      </c>
      <c r="X235" s="124">
        <f t="shared" si="19"/>
        <v>89.807692307692307</v>
      </c>
      <c r="Y235" s="115" t="s">
        <v>1377</v>
      </c>
      <c r="Z235" s="114"/>
      <c r="AA235" s="114"/>
      <c r="AB235" s="114"/>
      <c r="AC235" s="289"/>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14</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47</v>
      </c>
      <c r="AG235" s="114"/>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(Unmodeled OH Mace)</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2">(U236+T236)/2</f>
        <v>100.5</v>
      </c>
      <c r="W236" s="155">
        <v>1.6</v>
      </c>
      <c r="X236" s="124">
        <f t="shared" ref="X236" si="23">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15</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48</v>
      </c>
      <c r="AG236" s="114"/>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18"/>
        <v>100.5</v>
      </c>
      <c r="W237" s="155">
        <v>1.4</v>
      </c>
      <c r="X237" s="124">
        <f t="shared" si="19"/>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18"/>
        <v>140</v>
      </c>
      <c r="W238" s="155">
        <v>1.6</v>
      </c>
      <c r="X238" s="124">
        <f t="shared" si="19"/>
        <v>87.5</v>
      </c>
      <c r="Y238" s="115" t="s">
        <v>1377</v>
      </c>
      <c r="Z238" s="114"/>
      <c r="AA238" s="114"/>
      <c r="AB238" s="114"/>
      <c r="AC238" s="289"/>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16</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49</v>
      </c>
      <c r="AG238" s="114"/>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18"/>
        <v>186.5</v>
      </c>
      <c r="W239" s="155">
        <v>2.6</v>
      </c>
      <c r="X239" s="124">
        <f t="shared" si="19"/>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18"/>
        <v>100.5</v>
      </c>
      <c r="W240" s="155">
        <v>1.4</v>
      </c>
      <c r="X240" s="124">
        <f t="shared" si="19"/>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17</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50</v>
      </c>
      <c r="AG240" s="114"/>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18"/>
        <v>146.5</v>
      </c>
      <c r="W241" s="155">
        <v>1.5</v>
      </c>
      <c r="X241" s="124">
        <f t="shared" si="19"/>
        <v>97.666666666666671</v>
      </c>
      <c r="Y241" s="115" t="s">
        <v>1377</v>
      </c>
      <c r="Z241" s="114"/>
      <c r="AA241" s="114"/>
      <c r="AB241" s="114"/>
      <c r="AC241" s="289"/>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18"/>
        <v>254</v>
      </c>
      <c r="W242" s="155">
        <v>2.6</v>
      </c>
      <c r="X242" s="124">
        <f t="shared" si="19"/>
        <v>97.692307692307693</v>
      </c>
      <c r="Y242" s="115" t="s">
        <v>1377</v>
      </c>
      <c r="Z242" s="114"/>
      <c r="AA242" s="114"/>
      <c r="AB242" s="114"/>
      <c r="AC242" s="289"/>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18"/>
        <v>280.5</v>
      </c>
      <c r="W243" s="155">
        <v>2.6</v>
      </c>
      <c r="X243" s="124">
        <f t="shared" si="19"/>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18"/>
        <v>172</v>
      </c>
      <c r="W244" s="155">
        <v>2.4</v>
      </c>
      <c r="X244" s="124">
        <f t="shared" si="19"/>
        <v>71.666666666666671</v>
      </c>
      <c r="Y244" s="114" t="s">
        <v>1377</v>
      </c>
      <c r="Z244" s="114"/>
      <c r="AA244" s="114"/>
      <c r="AB244" s="114"/>
      <c r="AC244" s="289"/>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18</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51</v>
      </c>
      <c r="AG244" s="114"/>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18"/>
        <v>138</v>
      </c>
      <c r="W245" s="155">
        <v>1.5</v>
      </c>
      <c r="X245" s="124">
        <f t="shared" si="19"/>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18"/>
        <v>107.5</v>
      </c>
      <c r="W246" s="155">
        <v>1.5</v>
      </c>
      <c r="X246" s="124">
        <f t="shared" si="19"/>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19</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52</v>
      </c>
      <c r="AG246" s="114"/>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18"/>
        <v>236.5</v>
      </c>
      <c r="W247" s="155">
        <v>2.7</v>
      </c>
      <c r="X247" s="124">
        <f t="shared" si="19"/>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20</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53</v>
      </c>
      <c r="AG247" s="114"/>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18"/>
        <v>260.5</v>
      </c>
      <c r="W248" s="155">
        <v>2.7</v>
      </c>
      <c r="X248" s="124">
        <f t="shared" si="19"/>
        <v>96.481481481481481</v>
      </c>
      <c r="Y248" s="115" t="s">
        <v>1377</v>
      </c>
      <c r="Z248" s="114"/>
      <c r="AA248" s="114"/>
      <c r="AB248" s="114"/>
      <c r="AC248" s="289"/>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18"/>
        <v>109.5</v>
      </c>
      <c r="W249" s="155">
        <v>1.5</v>
      </c>
      <c r="X249" s="124">
        <f t="shared" si="19"/>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21</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54</v>
      </c>
      <c r="AG249" s="114"/>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18"/>
        <v>133.5</v>
      </c>
      <c r="W250" s="155">
        <v>1.6</v>
      </c>
      <c r="X250" s="124">
        <f t="shared" si="19"/>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22</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55</v>
      </c>
      <c r="AG250" s="114"/>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18"/>
        <v>194</v>
      </c>
      <c r="W251" s="155">
        <v>2.7</v>
      </c>
      <c r="X251" s="124">
        <f t="shared" si="19"/>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18"/>
        <v>160.5</v>
      </c>
      <c r="W252" s="155">
        <v>1.6</v>
      </c>
      <c r="X252" s="124">
        <f t="shared" si="19"/>
        <v>100.3125</v>
      </c>
      <c r="Y252" s="115" t="s">
        <v>1377</v>
      </c>
      <c r="Z252" s="114"/>
      <c r="AA252" s="114"/>
      <c r="AB252" s="114"/>
      <c r="AC252" s="289"/>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18"/>
        <v>102.5</v>
      </c>
      <c r="W253" s="155">
        <v>1.9</v>
      </c>
      <c r="X253" s="124">
        <f t="shared" si="19"/>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23</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56</v>
      </c>
      <c r="AG253" s="114"/>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7"/>
      <c r="J254" s="114">
        <v>49</v>
      </c>
      <c r="K254" s="116"/>
      <c r="L254" s="114">
        <v>30</v>
      </c>
      <c r="M254" s="116"/>
      <c r="N254" s="114">
        <v>12</v>
      </c>
      <c r="O254" s="116"/>
      <c r="P254" s="114"/>
      <c r="Q254" s="114" t="s">
        <v>1033</v>
      </c>
      <c r="R254" s="114"/>
      <c r="S254" s="114" t="s">
        <v>677</v>
      </c>
      <c r="T254" s="114">
        <v>108</v>
      </c>
      <c r="U254" s="116">
        <v>201</v>
      </c>
      <c r="V254" s="155">
        <f t="shared" si="18"/>
        <v>154.5</v>
      </c>
      <c r="W254" s="155">
        <v>1.5</v>
      </c>
      <c r="X254" s="124">
        <f t="shared" si="19"/>
        <v>103</v>
      </c>
      <c r="Y254" s="114" t="s">
        <v>1377</v>
      </c>
      <c r="Z254" s="114"/>
      <c r="AA254" s="114"/>
      <c r="AB254" s="114"/>
      <c r="AC254" s="289"/>
      <c r="AD254" s="791"/>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7"/>
      <c r="J255" s="114">
        <v>49</v>
      </c>
      <c r="K255" s="116"/>
      <c r="L255" s="114">
        <v>30</v>
      </c>
      <c r="M255" s="116"/>
      <c r="N255" s="114">
        <v>12</v>
      </c>
      <c r="O255" s="116"/>
      <c r="P255" s="114"/>
      <c r="Q255" s="114" t="s">
        <v>1033</v>
      </c>
      <c r="R255" s="114"/>
      <c r="S255" s="114" t="s">
        <v>677</v>
      </c>
      <c r="T255" s="114">
        <v>214</v>
      </c>
      <c r="U255" s="116">
        <v>322</v>
      </c>
      <c r="V255" s="155">
        <f t="shared" si="18"/>
        <v>268</v>
      </c>
      <c r="W255" s="155">
        <v>2.6</v>
      </c>
      <c r="X255" s="124">
        <f t="shared" si="19"/>
        <v>103.07692307692308</v>
      </c>
      <c r="Y255" s="114" t="s">
        <v>1377</v>
      </c>
      <c r="Z255" s="114"/>
      <c r="AA255" s="114"/>
      <c r="AB255" s="114"/>
      <c r="AC255" s="289"/>
      <c r="AD255" s="791"/>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18"/>
        <v>211</v>
      </c>
      <c r="W256" s="155">
        <v>2.6</v>
      </c>
      <c r="X256" s="124">
        <f t="shared" si="19"/>
        <v>81.153846153846146</v>
      </c>
      <c r="Y256" s="115" t="s">
        <v>1377</v>
      </c>
      <c r="Z256" s="114"/>
      <c r="AA256" s="114"/>
      <c r="AB256" s="114"/>
      <c r="AC256" s="289"/>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24</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57</v>
      </c>
      <c r="AG256" s="114"/>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18"/>
        <v>153</v>
      </c>
      <c r="W257" s="155">
        <v>1.4</v>
      </c>
      <c r="X257" s="124">
        <f t="shared" si="19"/>
        <v>109.28571428571429</v>
      </c>
      <c r="Y257" s="115" t="s">
        <v>1377</v>
      </c>
      <c r="Z257" s="114"/>
      <c r="AA257" s="114"/>
      <c r="AB257" s="114"/>
      <c r="AC257" s="289"/>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18"/>
        <v>354.5</v>
      </c>
      <c r="W258" s="155">
        <v>2.9</v>
      </c>
      <c r="X258" s="124">
        <f t="shared" si="19"/>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9"/>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25</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58</v>
      </c>
      <c r="AG259" s="114"/>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20">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9"/>
      <c r="AD260" s="115"/>
      <c r="AE260" s="114">
        <f>MAX($AE$212:AE259)+1</f>
        <v>26</v>
      </c>
      <c r="AF260" s="114">
        <f>MAX(AF$150:AF259)+1</f>
        <v>59</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7" t="str">
        <f>" "</f>
        <v xml:space="preserve"> </v>
      </c>
      <c r="B261" s="833"/>
      <c r="C261" s="833"/>
      <c r="D261" s="827"/>
      <c r="E261" s="827"/>
      <c r="F261" s="827"/>
      <c r="G261" s="827"/>
      <c r="H261" s="827"/>
      <c r="I261" s="834"/>
      <c r="J261" s="827"/>
      <c r="K261" s="833"/>
      <c r="L261" s="827"/>
      <c r="M261" s="833"/>
      <c r="N261" s="827"/>
      <c r="O261" s="833"/>
      <c r="P261" s="827"/>
      <c r="Q261" s="827" t="s">
        <v>1033</v>
      </c>
      <c r="R261" s="827"/>
      <c r="S261" s="827"/>
      <c r="T261" s="827"/>
      <c r="U261" s="833"/>
      <c r="V261" s="827"/>
      <c r="W261" s="827"/>
      <c r="X261" s="827"/>
      <c r="Y261" s="827"/>
      <c r="Z261" s="827"/>
      <c r="AA261" s="827"/>
      <c r="AB261" s="827"/>
      <c r="AC261" s="835"/>
      <c r="AD261" s="836"/>
      <c r="AE261" s="827"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60</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7" t="s">
        <v>5</v>
      </c>
      <c r="B262" s="839"/>
      <c r="C262" s="839"/>
      <c r="D262" s="743"/>
      <c r="E262" s="743"/>
      <c r="F262" s="743"/>
      <c r="G262" s="838"/>
      <c r="H262" s="838"/>
      <c r="I262" s="838"/>
      <c r="J262" s="743"/>
      <c r="K262" s="839"/>
      <c r="L262" s="743"/>
      <c r="M262" s="839"/>
      <c r="N262" s="743"/>
      <c r="O262" s="839"/>
      <c r="P262" s="743"/>
      <c r="Q262" s="743" t="s">
        <v>1033</v>
      </c>
      <c r="R262" s="743"/>
      <c r="S262" s="743"/>
      <c r="T262" s="743"/>
      <c r="U262" s="839"/>
      <c r="V262" s="840"/>
      <c r="W262" s="743"/>
      <c r="X262" s="841"/>
      <c r="Y262" s="838"/>
      <c r="Z262" s="743"/>
      <c r="AA262" s="743"/>
      <c r="AB262" s="743"/>
      <c r="AC262" s="842"/>
      <c r="AD262" s="838"/>
      <c r="AE262" s="743">
        <v>1</v>
      </c>
      <c r="AF262" s="114">
        <f>MAX(AF$150:AF261)+1</f>
        <v>61</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9"/>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62</v>
      </c>
      <c r="AG263" s="114"/>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7"/>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9"/>
      <c r="AD264" s="791"/>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7"/>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9"/>
      <c r="AD265" s="791"/>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24">(U266+T266)/2</f>
        <v>107.5</v>
      </c>
      <c r="W266" s="155">
        <v>1.5</v>
      </c>
      <c r="X266" s="124">
        <f t="shared" ref="X266:X279" si="25">V266/W266</f>
        <v>71.666666666666671</v>
      </c>
      <c r="Y266" s="115" t="s">
        <v>6</v>
      </c>
      <c r="Z266" s="114"/>
      <c r="AA266" s="114"/>
      <c r="AB266" s="114"/>
      <c r="AC266" s="289"/>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63</v>
      </c>
      <c r="AG266" s="114"/>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24"/>
        <v>145</v>
      </c>
      <c r="W267" s="155">
        <v>1.5</v>
      </c>
      <c r="X267" s="124">
        <f t="shared" si="25"/>
        <v>96.666666666666671</v>
      </c>
      <c r="Y267" s="115" t="s">
        <v>6</v>
      </c>
      <c r="Z267" s="114"/>
      <c r="AA267" s="114"/>
      <c r="AB267" s="114"/>
      <c r="AC267" s="289"/>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9"/>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24"/>
        <v>248.5</v>
      </c>
      <c r="W269" s="155">
        <v>2.6</v>
      </c>
      <c r="X269" s="124">
        <f t="shared" si="25"/>
        <v>95.57692307692308</v>
      </c>
      <c r="Y269" s="115" t="s">
        <v>6</v>
      </c>
      <c r="Z269" s="114"/>
      <c r="AA269" s="114"/>
      <c r="AB269" s="114"/>
      <c r="AC269" s="289"/>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24"/>
        <v>136.5</v>
      </c>
      <c r="W270" s="155">
        <v>1.5</v>
      </c>
      <c r="X270" s="124">
        <f t="shared" si="25"/>
        <v>91</v>
      </c>
      <c r="Y270" s="115" t="s">
        <v>6</v>
      </c>
      <c r="Z270" s="114"/>
      <c r="AA270" s="114"/>
      <c r="AB270" s="114"/>
      <c r="AC270" s="289"/>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64</v>
      </c>
      <c r="AG270" s="114"/>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65</v>
      </c>
      <c r="AG271" s="114"/>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24"/>
        <v>162</v>
      </c>
      <c r="W272" s="155">
        <v>1.5</v>
      </c>
      <c r="X272" s="124">
        <f t="shared" si="25"/>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24"/>
        <v>129</v>
      </c>
      <c r="W273" s="155">
        <v>1.8</v>
      </c>
      <c r="X273" s="124">
        <f t="shared" si="25"/>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66</v>
      </c>
      <c r="AG273" s="114"/>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9"/>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24"/>
        <v>280.5</v>
      </c>
      <c r="W275" s="155">
        <v>2.6</v>
      </c>
      <c r="X275" s="124">
        <f t="shared" si="25"/>
        <v>107.88461538461539</v>
      </c>
      <c r="Y275" s="114" t="s">
        <v>6</v>
      </c>
      <c r="Z275" s="114"/>
      <c r="AA275" s="114"/>
      <c r="AB275" s="114"/>
      <c r="AC275" s="289"/>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24"/>
        <v>114.5</v>
      </c>
      <c r="W276" s="155">
        <v>1.6</v>
      </c>
      <c r="X276" s="124">
        <f t="shared" si="25"/>
        <v>71.5625</v>
      </c>
      <c r="Y276" s="115" t="s">
        <v>6</v>
      </c>
      <c r="Z276" s="114"/>
      <c r="AA276" s="114"/>
      <c r="AB276" s="114"/>
      <c r="AC276" s="289"/>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67</v>
      </c>
      <c r="AG276" s="114"/>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7"/>
      <c r="J277" s="114">
        <v>49</v>
      </c>
      <c r="K277" s="116"/>
      <c r="L277" s="114">
        <v>30</v>
      </c>
      <c r="M277" s="116"/>
      <c r="N277" s="114">
        <v>12</v>
      </c>
      <c r="O277" s="116"/>
      <c r="P277" s="114"/>
      <c r="Q277" s="114" t="s">
        <v>1033</v>
      </c>
      <c r="R277" s="114"/>
      <c r="S277" s="114" t="s">
        <v>677</v>
      </c>
      <c r="T277" s="114">
        <v>187</v>
      </c>
      <c r="U277" s="116">
        <v>349</v>
      </c>
      <c r="V277" s="155">
        <f t="shared" si="24"/>
        <v>268</v>
      </c>
      <c r="W277" s="155">
        <v>2.6</v>
      </c>
      <c r="X277" s="124">
        <f t="shared" si="25"/>
        <v>103.07692307692308</v>
      </c>
      <c r="Y277" s="114" t="s">
        <v>6</v>
      </c>
      <c r="Z277" s="114"/>
      <c r="AA277" s="114"/>
      <c r="AB277" s="114"/>
      <c r="AC277" s="289"/>
      <c r="AD277" s="791"/>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7"/>
      <c r="J278" s="114">
        <v>49</v>
      </c>
      <c r="K278" s="116"/>
      <c r="L278" s="114">
        <v>30</v>
      </c>
      <c r="M278" s="116"/>
      <c r="N278" s="114">
        <v>12</v>
      </c>
      <c r="O278" s="116"/>
      <c r="P278" s="114"/>
      <c r="Q278" s="114" t="s">
        <v>1033</v>
      </c>
      <c r="R278" s="114"/>
      <c r="S278" s="114" t="s">
        <v>677</v>
      </c>
      <c r="T278" s="114">
        <v>108</v>
      </c>
      <c r="U278" s="116">
        <v>201</v>
      </c>
      <c r="V278" s="155">
        <f t="shared" si="24"/>
        <v>154.5</v>
      </c>
      <c r="W278" s="155">
        <v>1.5</v>
      </c>
      <c r="X278" s="124">
        <f t="shared" si="25"/>
        <v>103</v>
      </c>
      <c r="Y278" s="114" t="s">
        <v>6</v>
      </c>
      <c r="Z278" s="114"/>
      <c r="AA278" s="114"/>
      <c r="AB278" s="114"/>
      <c r="AC278" s="289"/>
      <c r="AD278" s="791"/>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8">
        <v>23</v>
      </c>
      <c r="J279" s="114"/>
      <c r="K279" s="116"/>
      <c r="L279" s="114"/>
      <c r="M279" s="116"/>
      <c r="N279" s="114"/>
      <c r="O279" s="116"/>
      <c r="P279" s="114"/>
      <c r="Q279" s="114" t="s">
        <v>1033</v>
      </c>
      <c r="R279" s="114"/>
      <c r="S279" s="114" t="s">
        <v>691</v>
      </c>
      <c r="T279" s="114">
        <v>180</v>
      </c>
      <c r="U279" s="116">
        <v>335</v>
      </c>
      <c r="V279" s="155">
        <f t="shared" si="24"/>
        <v>257.5</v>
      </c>
      <c r="W279" s="155">
        <v>2.5</v>
      </c>
      <c r="X279" s="124">
        <f t="shared" si="25"/>
        <v>103</v>
      </c>
      <c r="Y279" s="114" t="s">
        <v>6</v>
      </c>
      <c r="Z279" s="114"/>
      <c r="AA279" s="114"/>
      <c r="AB279" s="114"/>
      <c r="AC279" s="289"/>
      <c r="AD279" s="791"/>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8">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9"/>
      <c r="AD280" s="791"/>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20">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9"/>
      <c r="AD281" s="791"/>
      <c r="AE281" s="114">
        <f>MAX($AE$262:AE280)+1</f>
        <v>8</v>
      </c>
      <c r="AF281" s="114">
        <f>MAX(AF$150:AF280)+1</f>
        <v>68</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7" t="str">
        <f>" "</f>
        <v xml:space="preserve"> </v>
      </c>
      <c r="B282" s="833"/>
      <c r="C282" s="833"/>
      <c r="D282" s="827"/>
      <c r="E282" s="827"/>
      <c r="F282" s="827"/>
      <c r="G282" s="827"/>
      <c r="H282" s="827"/>
      <c r="I282" s="834"/>
      <c r="J282" s="827"/>
      <c r="K282" s="833"/>
      <c r="L282" s="827"/>
      <c r="M282" s="833"/>
      <c r="N282" s="827"/>
      <c r="O282" s="833"/>
      <c r="P282" s="827"/>
      <c r="Q282" s="827" t="s">
        <v>1033</v>
      </c>
      <c r="R282" s="827"/>
      <c r="S282" s="827"/>
      <c r="T282" s="827"/>
      <c r="U282" s="833"/>
      <c r="V282" s="827"/>
      <c r="W282" s="827"/>
      <c r="X282" s="827"/>
      <c r="Y282" s="827"/>
      <c r="Z282" s="827"/>
      <c r="AA282" s="827"/>
      <c r="AB282" s="827"/>
      <c r="AC282" s="835"/>
      <c r="AD282" s="836"/>
      <c r="AE282" s="827"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69</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7" t="s">
        <v>910</v>
      </c>
      <c r="B283" s="839"/>
      <c r="C283" s="839"/>
      <c r="D283" s="743"/>
      <c r="E283" s="743"/>
      <c r="F283" s="743"/>
      <c r="G283" s="838"/>
      <c r="H283" s="838"/>
      <c r="I283" s="838"/>
      <c r="J283" s="743"/>
      <c r="K283" s="839"/>
      <c r="L283" s="743"/>
      <c r="M283" s="839"/>
      <c r="N283" s="743"/>
      <c r="O283" s="839"/>
      <c r="P283" s="743"/>
      <c r="Q283" s="743" t="s">
        <v>1033</v>
      </c>
      <c r="R283" s="743"/>
      <c r="S283" s="743"/>
      <c r="T283" s="743"/>
      <c r="U283" s="839"/>
      <c r="V283" s="840"/>
      <c r="W283" s="743"/>
      <c r="X283" s="841"/>
      <c r="Y283" s="838"/>
      <c r="Z283" s="743"/>
      <c r="AA283" s="743"/>
      <c r="AB283" s="743"/>
      <c r="AC283" s="837"/>
      <c r="AD283" s="838"/>
      <c r="AE283" s="743">
        <v>1</v>
      </c>
      <c r="AF283" s="114">
        <f>MAX(AF$150:AF282)+1</f>
        <v>70</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26">(U284+T284)/2</f>
        <v>129</v>
      </c>
      <c r="W284" s="155">
        <v>1.8</v>
      </c>
      <c r="X284" s="124">
        <f t="shared" ref="X284:X308" si="27">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28.890023702641724</v>
      </c>
      <c r="J285" s="114"/>
      <c r="K285" s="116"/>
      <c r="L285" s="114"/>
      <c r="M285" s="116"/>
      <c r="N285" s="114"/>
      <c r="O285" s="116"/>
      <c r="P285" s="114"/>
      <c r="Q285" s="114" t="s">
        <v>1045</v>
      </c>
      <c r="R285" s="114" t="s">
        <v>1465</v>
      </c>
      <c r="S285" s="114" t="s">
        <v>673</v>
      </c>
      <c r="T285" s="114">
        <v>73</v>
      </c>
      <c r="U285" s="116">
        <v>136</v>
      </c>
      <c r="V285" s="155">
        <f t="shared" si="26"/>
        <v>104.5</v>
      </c>
      <c r="W285" s="155">
        <v>1.5</v>
      </c>
      <c r="X285" s="124">
        <f t="shared" si="27"/>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71</v>
      </c>
      <c r="AG285" s="114"/>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26"/>
        <v>186.5</v>
      </c>
      <c r="W286" s="155">
        <v>2.6</v>
      </c>
      <c r="X286" s="124">
        <f t="shared" si="27"/>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72</v>
      </c>
      <c r="AG286" s="114"/>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7"/>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1"/>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7"/>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1"/>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7"/>
      <c r="J289" s="114"/>
      <c r="K289" s="116"/>
      <c r="L289" s="114"/>
      <c r="M289" s="116"/>
      <c r="N289" s="114"/>
      <c r="O289" s="116"/>
      <c r="P289" s="114"/>
      <c r="Q289" s="114" t="s">
        <v>1043</v>
      </c>
      <c r="R289" s="114" t="s">
        <v>1338</v>
      </c>
      <c r="S289" s="114" t="s">
        <v>672</v>
      </c>
      <c r="T289" s="114">
        <v>159</v>
      </c>
      <c r="U289" s="116">
        <v>296</v>
      </c>
      <c r="V289" s="155">
        <f t="shared" si="26"/>
        <v>227.5</v>
      </c>
      <c r="W289" s="155">
        <v>2.6</v>
      </c>
      <c r="X289" s="124">
        <f t="shared" si="27"/>
        <v>87.5</v>
      </c>
      <c r="Y289" s="114" t="s">
        <v>911</v>
      </c>
      <c r="Z289" s="114"/>
      <c r="AA289" s="114"/>
      <c r="AB289" s="114"/>
      <c r="AC289" s="10"/>
      <c r="AD289" s="791"/>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73</v>
      </c>
      <c r="AG289" s="114"/>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7"/>
      <c r="J290" s="114"/>
      <c r="K290" s="116"/>
      <c r="L290" s="114">
        <v>21</v>
      </c>
      <c r="M290" s="116"/>
      <c r="N290" s="114">
        <v>10</v>
      </c>
      <c r="O290" s="116"/>
      <c r="P290" s="114"/>
      <c r="Q290" s="114" t="s">
        <v>1033</v>
      </c>
      <c r="R290" s="114"/>
      <c r="S290" s="114" t="s">
        <v>677</v>
      </c>
      <c r="T290" s="114">
        <v>95</v>
      </c>
      <c r="U290" s="116">
        <v>178</v>
      </c>
      <c r="V290" s="155">
        <f t="shared" si="26"/>
        <v>136.5</v>
      </c>
      <c r="W290" s="155">
        <v>1.5</v>
      </c>
      <c r="X290" s="124">
        <f t="shared" si="27"/>
        <v>91</v>
      </c>
      <c r="Y290" s="114" t="s">
        <v>911</v>
      </c>
      <c r="Z290" s="114"/>
      <c r="AA290" s="114"/>
      <c r="AB290" s="114"/>
      <c r="AC290" s="10"/>
      <c r="AD290" s="791"/>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74</v>
      </c>
      <c r="AG290" s="114"/>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7"/>
      <c r="J291" s="114"/>
      <c r="K291" s="116"/>
      <c r="L291" s="114">
        <v>21</v>
      </c>
      <c r="M291" s="116"/>
      <c r="N291" s="114">
        <v>10</v>
      </c>
      <c r="O291" s="116"/>
      <c r="P291" s="114"/>
      <c r="Q291" s="114" t="s">
        <v>1033</v>
      </c>
      <c r="R291" s="114"/>
      <c r="S291" s="114" t="s">
        <v>677</v>
      </c>
      <c r="T291" s="114">
        <v>189</v>
      </c>
      <c r="U291" s="116">
        <v>285</v>
      </c>
      <c r="V291" s="155">
        <f t="shared" si="26"/>
        <v>237</v>
      </c>
      <c r="W291" s="155">
        <v>2.6</v>
      </c>
      <c r="X291" s="124">
        <f t="shared" si="27"/>
        <v>91.153846153846146</v>
      </c>
      <c r="Y291" s="114" t="s">
        <v>911</v>
      </c>
      <c r="Z291" s="114"/>
      <c r="AA291" s="114"/>
      <c r="AB291" s="114"/>
      <c r="AC291" s="10"/>
      <c r="AD291" s="791"/>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75</v>
      </c>
      <c r="AG291" s="114"/>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7"/>
      <c r="J292" s="114"/>
      <c r="K292" s="116"/>
      <c r="L292" s="114">
        <v>18</v>
      </c>
      <c r="M292" s="116"/>
      <c r="N292" s="114">
        <v>9</v>
      </c>
      <c r="O292" s="116"/>
      <c r="P292" s="114"/>
      <c r="Q292" s="114" t="s">
        <v>1033</v>
      </c>
      <c r="R292" s="114"/>
      <c r="S292" s="114" t="s">
        <v>677</v>
      </c>
      <c r="T292" s="114">
        <v>103</v>
      </c>
      <c r="U292" s="116">
        <v>155</v>
      </c>
      <c r="V292" s="155">
        <f t="shared" si="26"/>
        <v>129</v>
      </c>
      <c r="W292" s="155">
        <v>1.8</v>
      </c>
      <c r="X292" s="124">
        <f t="shared" si="27"/>
        <v>71.666666666666671</v>
      </c>
      <c r="Y292" s="114" t="s">
        <v>911</v>
      </c>
      <c r="Z292" s="114"/>
      <c r="AA292" s="114"/>
      <c r="AB292" s="114"/>
      <c r="AC292" s="10"/>
      <c r="AD292" s="791"/>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76</v>
      </c>
      <c r="AG292" s="114"/>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7"/>
      <c r="J293" s="114"/>
      <c r="K293" s="116"/>
      <c r="L293" s="114">
        <v>18</v>
      </c>
      <c r="M293" s="116"/>
      <c r="N293" s="114">
        <v>9</v>
      </c>
      <c r="O293" s="116"/>
      <c r="P293" s="114"/>
      <c r="Q293" s="114" t="s">
        <v>1033</v>
      </c>
      <c r="R293" s="114"/>
      <c r="S293" s="114" t="s">
        <v>677</v>
      </c>
      <c r="T293" s="114">
        <v>149</v>
      </c>
      <c r="U293" s="116">
        <v>224</v>
      </c>
      <c r="V293" s="155">
        <f t="shared" si="26"/>
        <v>186.5</v>
      </c>
      <c r="W293" s="155">
        <v>2.6</v>
      </c>
      <c r="X293" s="124">
        <f t="shared" si="27"/>
        <v>71.730769230769226</v>
      </c>
      <c r="Y293" s="114" t="s">
        <v>911</v>
      </c>
      <c r="Z293" s="114"/>
      <c r="AA293" s="114"/>
      <c r="AB293" s="114"/>
      <c r="AC293" s="10"/>
      <c r="AD293" s="791"/>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77</v>
      </c>
      <c r="AG293" s="114"/>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7"/>
      <c r="J294" s="114"/>
      <c r="K294" s="116"/>
      <c r="L294" s="114">
        <v>18</v>
      </c>
      <c r="M294" s="116"/>
      <c r="N294" s="114">
        <v>9</v>
      </c>
      <c r="O294" s="116"/>
      <c r="P294" s="114"/>
      <c r="Q294" s="114" t="s">
        <v>1033</v>
      </c>
      <c r="R294" s="114"/>
      <c r="S294" s="114" t="s">
        <v>677</v>
      </c>
      <c r="T294" s="114">
        <v>103</v>
      </c>
      <c r="U294" s="116">
        <v>155</v>
      </c>
      <c r="V294" s="155">
        <f t="shared" si="26"/>
        <v>129</v>
      </c>
      <c r="W294" s="155">
        <v>1.8</v>
      </c>
      <c r="X294" s="124">
        <f t="shared" si="27"/>
        <v>71.666666666666671</v>
      </c>
      <c r="Y294" s="114" t="s">
        <v>911</v>
      </c>
      <c r="Z294" s="114"/>
      <c r="AA294" s="114"/>
      <c r="AB294" s="114"/>
      <c r="AC294" s="10"/>
      <c r="AD294" s="791"/>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78</v>
      </c>
      <c r="AG294" s="114"/>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7"/>
      <c r="J295" s="114"/>
      <c r="K295" s="116"/>
      <c r="L295" s="114">
        <v>18</v>
      </c>
      <c r="M295" s="116"/>
      <c r="N295" s="114">
        <v>9</v>
      </c>
      <c r="O295" s="116"/>
      <c r="P295" s="114"/>
      <c r="Q295" s="114" t="s">
        <v>1033</v>
      </c>
      <c r="R295" s="114"/>
      <c r="S295" s="114" t="s">
        <v>677</v>
      </c>
      <c r="T295" s="114">
        <v>149</v>
      </c>
      <c r="U295" s="116">
        <v>224</v>
      </c>
      <c r="V295" s="155">
        <f t="shared" si="26"/>
        <v>186.5</v>
      </c>
      <c r="W295" s="155">
        <v>2.6</v>
      </c>
      <c r="X295" s="124">
        <f t="shared" si="27"/>
        <v>71.730769230769226</v>
      </c>
      <c r="Y295" s="114" t="s">
        <v>911</v>
      </c>
      <c r="Z295" s="114"/>
      <c r="AA295" s="114"/>
      <c r="AB295" s="114"/>
      <c r="AC295" s="10"/>
      <c r="AD295" s="791"/>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79</v>
      </c>
      <c r="AG295" s="114"/>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26"/>
        <v>146.5</v>
      </c>
      <c r="W296" s="155">
        <v>1.5</v>
      </c>
      <c r="X296" s="124">
        <f t="shared" si="27"/>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26"/>
        <v>253.5</v>
      </c>
      <c r="W297" s="155">
        <v>2.6</v>
      </c>
      <c r="X297" s="124">
        <f t="shared" si="27"/>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26"/>
        <v>270.5</v>
      </c>
      <c r="W298" s="155">
        <v>2.7</v>
      </c>
      <c r="X298" s="124">
        <f t="shared" si="27"/>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7"/>
      <c r="J299" s="114"/>
      <c r="K299" s="116"/>
      <c r="L299" s="114">
        <v>16</v>
      </c>
      <c r="M299" s="116"/>
      <c r="N299" s="114"/>
      <c r="O299" s="116"/>
      <c r="P299" s="114"/>
      <c r="Q299" s="114" t="s">
        <v>1033</v>
      </c>
      <c r="R299" s="114"/>
      <c r="S299" s="114" t="s">
        <v>685</v>
      </c>
      <c r="T299" s="114">
        <v>140</v>
      </c>
      <c r="U299" s="116">
        <v>261</v>
      </c>
      <c r="V299" s="155">
        <f t="shared" si="26"/>
        <v>200.5</v>
      </c>
      <c r="W299" s="155">
        <v>2.4</v>
      </c>
      <c r="X299" s="124">
        <f t="shared" si="27"/>
        <v>83.541666666666671</v>
      </c>
      <c r="Y299" s="114" t="s">
        <v>911</v>
      </c>
      <c r="Z299" s="114"/>
      <c r="AA299" s="114"/>
      <c r="AB299" s="114"/>
      <c r="AC299" s="10"/>
      <c r="AD299" s="791"/>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80</v>
      </c>
      <c r="AG299" s="114"/>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26"/>
        <v>150.5</v>
      </c>
      <c r="W300" s="155">
        <v>1.5</v>
      </c>
      <c r="X300" s="124">
        <f t="shared" si="27"/>
        <v>100.33333333333333</v>
      </c>
      <c r="Y300" s="114" t="s">
        <v>911</v>
      </c>
      <c r="Z300" s="114"/>
      <c r="AA300" s="114"/>
      <c r="AB300" s="114"/>
      <c r="AC300" s="10"/>
      <c r="AD300" s="791"/>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7"/>
      <c r="J301" s="114"/>
      <c r="K301" s="116"/>
      <c r="L301" s="114"/>
      <c r="M301" s="116"/>
      <c r="N301" s="114"/>
      <c r="O301" s="116"/>
      <c r="P301" s="114"/>
      <c r="Q301" s="114" t="s">
        <v>1033</v>
      </c>
      <c r="R301" s="114"/>
      <c r="S301" s="114" t="s">
        <v>683</v>
      </c>
      <c r="T301" s="114">
        <v>196</v>
      </c>
      <c r="U301" s="116">
        <v>365</v>
      </c>
      <c r="V301" s="155">
        <f t="shared" si="26"/>
        <v>280.5</v>
      </c>
      <c r="W301" s="155">
        <v>2.8</v>
      </c>
      <c r="X301" s="124">
        <f t="shared" si="27"/>
        <v>100.17857142857143</v>
      </c>
      <c r="Y301" s="114" t="s">
        <v>911</v>
      </c>
      <c r="Z301" s="114"/>
      <c r="AA301" s="114"/>
      <c r="AB301" s="114"/>
      <c r="AC301" s="10" t="s">
        <v>616</v>
      </c>
      <c r="AD301" s="791"/>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7"/>
      <c r="J302" s="114"/>
      <c r="K302" s="116"/>
      <c r="L302" s="114">
        <v>21</v>
      </c>
      <c r="M302" s="116"/>
      <c r="N302" s="114"/>
      <c r="O302" s="116"/>
      <c r="P302" s="114"/>
      <c r="Q302" s="114" t="s">
        <v>1033</v>
      </c>
      <c r="R302" s="114"/>
      <c r="S302" s="114" t="s">
        <v>675</v>
      </c>
      <c r="T302" s="114">
        <v>125</v>
      </c>
      <c r="U302" s="116">
        <v>233</v>
      </c>
      <c r="V302" s="155">
        <f t="shared" si="26"/>
        <v>179</v>
      </c>
      <c r="W302" s="155">
        <v>2.5</v>
      </c>
      <c r="X302" s="124">
        <f t="shared" si="27"/>
        <v>71.599999999999994</v>
      </c>
      <c r="Y302" s="114" t="s">
        <v>911</v>
      </c>
      <c r="Z302" s="114"/>
      <c r="AA302" s="114"/>
      <c r="AB302" s="114"/>
      <c r="AC302" s="10"/>
      <c r="AD302" s="791"/>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7"/>
      <c r="J303" s="114"/>
      <c r="K303" s="116"/>
      <c r="L303" s="114">
        <v>21</v>
      </c>
      <c r="M303" s="116"/>
      <c r="N303" s="114"/>
      <c r="O303" s="116"/>
      <c r="P303" s="114"/>
      <c r="Q303" s="114" t="s">
        <v>1033</v>
      </c>
      <c r="R303" s="114"/>
      <c r="S303" s="114" t="s">
        <v>675</v>
      </c>
      <c r="T303" s="114">
        <v>125</v>
      </c>
      <c r="U303" s="116">
        <v>233</v>
      </c>
      <c r="V303" s="155">
        <f t="shared" si="26"/>
        <v>179</v>
      </c>
      <c r="W303" s="155">
        <v>2.5</v>
      </c>
      <c r="X303" s="124">
        <f t="shared" si="27"/>
        <v>71.599999999999994</v>
      </c>
      <c r="Y303" s="114" t="s">
        <v>911</v>
      </c>
      <c r="Z303" s="114"/>
      <c r="AA303" s="114"/>
      <c r="AB303" s="114"/>
      <c r="AC303" s="10"/>
      <c r="AD303" s="791"/>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7"/>
      <c r="J304" s="114"/>
      <c r="K304" s="116"/>
      <c r="L304" s="114">
        <v>21</v>
      </c>
      <c r="M304" s="116"/>
      <c r="N304" s="114"/>
      <c r="O304" s="116">
        <v>14</v>
      </c>
      <c r="P304" s="114"/>
      <c r="Q304" s="114" t="s">
        <v>1033</v>
      </c>
      <c r="R304" s="114"/>
      <c r="S304" s="114" t="s">
        <v>675</v>
      </c>
      <c r="T304" s="114">
        <v>125</v>
      </c>
      <c r="U304" s="116">
        <v>233</v>
      </c>
      <c r="V304" s="155">
        <f t="shared" si="26"/>
        <v>179</v>
      </c>
      <c r="W304" s="155">
        <v>2.5</v>
      </c>
      <c r="X304" s="124">
        <f t="shared" si="27"/>
        <v>71.599999999999994</v>
      </c>
      <c r="Y304" s="114" t="s">
        <v>911</v>
      </c>
      <c r="Z304" s="114"/>
      <c r="AA304" s="114"/>
      <c r="AB304" s="114"/>
      <c r="AC304" s="10"/>
      <c r="AD304" s="791"/>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7"/>
      <c r="J305" s="114"/>
      <c r="K305" s="116"/>
      <c r="L305" s="114">
        <v>21</v>
      </c>
      <c r="M305" s="116"/>
      <c r="N305" s="114"/>
      <c r="O305" s="116"/>
      <c r="P305" s="114"/>
      <c r="Q305" s="114" t="s">
        <v>1033</v>
      </c>
      <c r="R305" s="114"/>
      <c r="S305" s="114" t="s">
        <v>675</v>
      </c>
      <c r="T305" s="114">
        <v>125</v>
      </c>
      <c r="U305" s="116">
        <v>233</v>
      </c>
      <c r="V305" s="155">
        <f t="shared" si="26"/>
        <v>179</v>
      </c>
      <c r="W305" s="155">
        <v>2.5</v>
      </c>
      <c r="X305" s="124">
        <f t="shared" si="27"/>
        <v>71.599999999999994</v>
      </c>
      <c r="Y305" s="114" t="s">
        <v>911</v>
      </c>
      <c r="Z305" s="114"/>
      <c r="AA305" s="114"/>
      <c r="AB305" s="114"/>
      <c r="AC305" s="10"/>
      <c r="AD305" s="791"/>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3</v>
      </c>
      <c r="D306" s="114"/>
      <c r="E306" s="114"/>
      <c r="F306" s="114"/>
      <c r="G306" s="115"/>
      <c r="H306" s="115"/>
      <c r="I306" s="847"/>
      <c r="J306" s="114"/>
      <c r="K306" s="116">
        <v>19</v>
      </c>
      <c r="L306" s="114">
        <v>25</v>
      </c>
      <c r="M306" s="116"/>
      <c r="N306" s="114"/>
      <c r="O306" s="116"/>
      <c r="P306" s="114"/>
      <c r="Q306" s="114" t="s">
        <v>1033</v>
      </c>
      <c r="R306" s="114"/>
      <c r="S306" s="114" t="s">
        <v>673</v>
      </c>
      <c r="T306" s="114">
        <v>100</v>
      </c>
      <c r="U306" s="116">
        <v>187</v>
      </c>
      <c r="V306" s="155">
        <f t="shared" si="26"/>
        <v>143.5</v>
      </c>
      <c r="W306" s="155">
        <v>2</v>
      </c>
      <c r="X306" s="124">
        <f t="shared" si="27"/>
        <v>71.75</v>
      </c>
      <c r="Y306" s="114" t="s">
        <v>911</v>
      </c>
      <c r="Z306" s="114"/>
      <c r="AA306" s="114"/>
      <c r="AB306" s="114"/>
      <c r="AC306" s="10"/>
      <c r="AD306" s="791"/>
      <c r="AE306" s="114" t="str">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
      </c>
      <c r="AF306" s="114" t="str">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
      </c>
      <c r="AG306" s="114"/>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7"/>
      <c r="J307" s="114"/>
      <c r="K307" s="116"/>
      <c r="L307" s="114">
        <v>19</v>
      </c>
      <c r="M307" s="116"/>
      <c r="N307" s="114"/>
      <c r="O307" s="116">
        <v>15</v>
      </c>
      <c r="P307" s="114"/>
      <c r="Q307" s="114" t="s">
        <v>1033</v>
      </c>
      <c r="R307" s="114"/>
      <c r="S307" s="114" t="s">
        <v>691</v>
      </c>
      <c r="T307" s="114">
        <v>90</v>
      </c>
      <c r="U307" s="116">
        <v>168</v>
      </c>
      <c r="V307" s="155">
        <f t="shared" si="26"/>
        <v>129</v>
      </c>
      <c r="W307" s="155">
        <v>1.8</v>
      </c>
      <c r="X307" s="124">
        <f t="shared" si="27"/>
        <v>71.666666666666671</v>
      </c>
      <c r="Y307" s="114" t="s">
        <v>911</v>
      </c>
      <c r="Z307" s="114"/>
      <c r="AA307" s="114"/>
      <c r="AB307" s="114"/>
      <c r="AC307" s="10"/>
      <c r="AD307" s="791"/>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12</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81</v>
      </c>
      <c r="AG307" s="114"/>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7"/>
      <c r="J308" s="114">
        <v>49</v>
      </c>
      <c r="K308" s="116"/>
      <c r="L308" s="114">
        <v>30</v>
      </c>
      <c r="M308" s="116"/>
      <c r="N308" s="114">
        <v>12</v>
      </c>
      <c r="O308" s="116"/>
      <c r="P308" s="114"/>
      <c r="Q308" s="114" t="s">
        <v>1033</v>
      </c>
      <c r="R308" s="114"/>
      <c r="S308" s="114" t="s">
        <v>677</v>
      </c>
      <c r="T308" s="114">
        <v>108</v>
      </c>
      <c r="U308" s="116">
        <v>201</v>
      </c>
      <c r="V308" s="155">
        <f t="shared" si="26"/>
        <v>154.5</v>
      </c>
      <c r="W308" s="155">
        <v>1.5</v>
      </c>
      <c r="X308" s="124">
        <f t="shared" si="27"/>
        <v>103</v>
      </c>
      <c r="Y308" s="114" t="s">
        <v>911</v>
      </c>
      <c r="Z308" s="114"/>
      <c r="AA308" s="114"/>
      <c r="AB308" s="114"/>
      <c r="AC308" s="10"/>
      <c r="AD308" s="791"/>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7"/>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1"/>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20">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1"/>
      <c r="AE310" s="114">
        <f>MAX($AE$283:$AE309)+1</f>
        <v>13</v>
      </c>
      <c r="AF310" s="114">
        <f>MAX(AF$150:AF309)+1</f>
        <v>82</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9"/>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4"/>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4"/>
      <c r="K313" s="129"/>
      <c r="M313" s="129"/>
      <c r="O313" s="129"/>
      <c r="U313" s="129"/>
      <c r="AC313" s="151"/>
      <c r="AD313" s="129"/>
      <c r="AF313" s="114"/>
    </row>
    <row r="314" spans="1:38">
      <c r="B314" s="129"/>
      <c r="C314" s="129"/>
      <c r="I314" s="304"/>
      <c r="K314" s="129"/>
      <c r="M314" s="129"/>
      <c r="O314" s="129"/>
      <c r="U314" s="129"/>
      <c r="AC314" s="151"/>
      <c r="AD314" s="129"/>
      <c r="AF314" s="114"/>
    </row>
    <row r="315" spans="1:38">
      <c r="A315" s="300" t="s">
        <v>608</v>
      </c>
      <c r="B315" s="237"/>
      <c r="C315" s="237"/>
      <c r="D315" s="237"/>
      <c r="E315" s="237"/>
      <c r="F315" s="237"/>
      <c r="G315" s="237"/>
      <c r="H315" s="237"/>
      <c r="I315" s="305"/>
      <c r="J315" s="237"/>
      <c r="K315" s="237"/>
      <c r="L315" s="237"/>
      <c r="M315" s="237"/>
      <c r="N315" s="237"/>
      <c r="O315" s="237"/>
      <c r="P315" s="237"/>
      <c r="Q315" s="237"/>
      <c r="R315" s="237"/>
      <c r="S315" s="292"/>
      <c r="T315" s="237"/>
      <c r="U315" s="129"/>
      <c r="AC315" s="151"/>
      <c r="AD315" s="129"/>
      <c r="AF315" s="114"/>
    </row>
    <row r="316" spans="1:38">
      <c r="A316" s="295" t="s">
        <v>3130</v>
      </c>
      <c r="B316" s="237"/>
      <c r="C316" s="237"/>
      <c r="D316" s="237"/>
      <c r="E316" s="237"/>
      <c r="F316" s="237"/>
      <c r="G316" s="237"/>
      <c r="H316" s="237"/>
      <c r="I316" s="305"/>
      <c r="J316" s="237"/>
      <c r="K316" s="237"/>
      <c r="L316" s="237"/>
      <c r="M316" s="237"/>
      <c r="N316" s="237"/>
      <c r="O316" s="237"/>
      <c r="P316" s="237"/>
      <c r="Q316" s="237"/>
      <c r="R316" s="237"/>
      <c r="S316" s="292"/>
      <c r="T316" s="237"/>
      <c r="U316" s="129"/>
      <c r="AC316" s="151"/>
      <c r="AD316" s="129"/>
      <c r="AE316" s="172"/>
      <c r="AF316" s="114"/>
    </row>
    <row r="317" spans="1:38">
      <c r="A317" s="238" t="s">
        <v>3131</v>
      </c>
      <c r="B317" s="293"/>
      <c r="C317" s="293"/>
      <c r="D317" s="236"/>
      <c r="E317" s="236"/>
      <c r="F317" s="236"/>
      <c r="G317" s="294"/>
      <c r="H317" s="294"/>
      <c r="I317" s="306"/>
      <c r="J317" s="236"/>
      <c r="K317" s="293"/>
      <c r="L317" s="236"/>
      <c r="M317" s="293"/>
      <c r="N317" s="236"/>
      <c r="O317" s="293"/>
      <c r="P317" s="236"/>
      <c r="Q317" s="236"/>
      <c r="R317" s="236"/>
      <c r="S317" s="236"/>
      <c r="T317" s="236"/>
      <c r="U317" s="129"/>
      <c r="AC317" s="151"/>
      <c r="AD317" s="129"/>
      <c r="AE317" s="172"/>
      <c r="AF317" s="114"/>
    </row>
    <row r="318" spans="1:38">
      <c r="A318" s="295" t="s">
        <v>3132</v>
      </c>
      <c r="B318" s="237"/>
      <c r="C318" s="237"/>
      <c r="D318" s="237"/>
      <c r="E318" s="237"/>
      <c r="F318" s="237"/>
      <c r="G318" s="237"/>
      <c r="H318" s="237"/>
      <c r="I318" s="305"/>
      <c r="J318" s="237"/>
      <c r="K318" s="237"/>
      <c r="L318" s="237"/>
      <c r="M318" s="237"/>
      <c r="N318" s="237"/>
      <c r="O318" s="237"/>
      <c r="P318" s="237"/>
      <c r="Q318" s="237"/>
      <c r="R318" s="237"/>
      <c r="S318" s="292"/>
      <c r="T318" s="237"/>
      <c r="U318" s="129"/>
      <c r="AC318" s="151"/>
      <c r="AD318" s="129"/>
      <c r="AE318" s="172"/>
      <c r="AF318" s="114"/>
    </row>
    <row r="319" spans="1:38">
      <c r="A319" s="295" t="s">
        <v>3133</v>
      </c>
      <c r="B319" s="237"/>
      <c r="C319" s="237"/>
      <c r="D319" s="237"/>
      <c r="E319" s="237"/>
      <c r="F319" s="237"/>
      <c r="G319" s="237"/>
      <c r="H319" s="237"/>
      <c r="I319" s="305"/>
      <c r="J319" s="237"/>
      <c r="K319" s="237"/>
      <c r="L319" s="237"/>
      <c r="M319" s="237"/>
      <c r="N319" s="237"/>
      <c r="O319" s="237"/>
      <c r="P319" s="237"/>
      <c r="Q319" s="237"/>
      <c r="R319" s="237"/>
      <c r="S319" s="292"/>
      <c r="T319" s="237"/>
      <c r="U319" s="129"/>
      <c r="AC319" s="151"/>
      <c r="AD319" s="129"/>
      <c r="AE319" s="172"/>
      <c r="AF319" s="114"/>
    </row>
    <row r="320" spans="1:38">
      <c r="A320" s="295" t="s">
        <v>3134</v>
      </c>
      <c r="B320" s="237"/>
      <c r="C320" s="237"/>
      <c r="D320" s="237"/>
      <c r="E320" s="237"/>
      <c r="F320" s="237"/>
      <c r="G320" s="237"/>
      <c r="H320" s="237"/>
      <c r="I320" s="305"/>
      <c r="J320" s="237"/>
      <c r="K320" s="237"/>
      <c r="L320" s="237"/>
      <c r="M320" s="237"/>
      <c r="N320" s="237"/>
      <c r="O320" s="237"/>
      <c r="P320" s="237"/>
      <c r="Q320" s="237"/>
      <c r="R320" s="237"/>
      <c r="S320" s="292"/>
      <c r="T320" s="237"/>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4"/>
      <c r="K333" s="129"/>
      <c r="M333" s="129"/>
      <c r="O333" s="129"/>
      <c r="S333" s="172"/>
      <c r="U333" s="129"/>
      <c r="AC333" s="151"/>
      <c r="AD333" s="129"/>
      <c r="AE333" s="172"/>
    </row>
    <row r="334" spans="2:32">
      <c r="B334" s="129"/>
      <c r="C334" s="129"/>
      <c r="I334" s="304"/>
      <c r="K334" s="129"/>
      <c r="M334" s="129"/>
      <c r="O334" s="129"/>
      <c r="S334" s="172"/>
      <c r="U334" s="129"/>
      <c r="AC334" s="151"/>
      <c r="AD334" s="129"/>
      <c r="AE334" s="172"/>
    </row>
    <row r="335" spans="2:32">
      <c r="B335" s="129"/>
      <c r="C335" s="129"/>
      <c r="I335" s="304"/>
      <c r="K335" s="129"/>
      <c r="M335" s="129"/>
      <c r="O335" s="129"/>
      <c r="S335" s="172"/>
      <c r="U335" s="129"/>
      <c r="AC335" s="151"/>
      <c r="AD335" s="129"/>
      <c r="AE335" s="172"/>
    </row>
    <row r="336" spans="2:32">
      <c r="B336" s="129"/>
      <c r="C336" s="129"/>
      <c r="I336" s="304"/>
      <c r="K336" s="129"/>
      <c r="M336" s="129"/>
      <c r="O336" s="129"/>
      <c r="S336" s="172"/>
      <c r="U336" s="129"/>
      <c r="AC336" s="151"/>
      <c r="AD336" s="129"/>
      <c r="AE336" s="172"/>
    </row>
    <row r="337" spans="2:31">
      <c r="B337" s="129"/>
      <c r="C337" s="129"/>
      <c r="I337" s="304"/>
      <c r="K337" s="129"/>
      <c r="M337" s="129"/>
      <c r="O337" s="129"/>
      <c r="S337" s="172"/>
      <c r="U337" s="129"/>
      <c r="AC337" s="151"/>
      <c r="AD337" s="129"/>
      <c r="AE337" s="172"/>
    </row>
    <row r="338" spans="2:31">
      <c r="B338" s="129"/>
      <c r="C338" s="129"/>
      <c r="I338" s="304"/>
      <c r="K338" s="129"/>
      <c r="M338" s="129"/>
      <c r="O338" s="129"/>
      <c r="S338" s="172"/>
      <c r="U338" s="129"/>
      <c r="AC338" s="151"/>
      <c r="AD338" s="129"/>
      <c r="AE338" s="172"/>
    </row>
    <row r="339" spans="2:31">
      <c r="B339" s="129"/>
      <c r="C339" s="129"/>
      <c r="I339" s="304"/>
      <c r="K339" s="129"/>
      <c r="M339" s="129"/>
      <c r="O339" s="129"/>
      <c r="S339" s="172"/>
      <c r="U339" s="129"/>
      <c r="AC339" s="151"/>
      <c r="AD339" s="129"/>
      <c r="AE339" s="172"/>
    </row>
    <row r="340" spans="2:31">
      <c r="B340" s="129"/>
      <c r="C340" s="129"/>
      <c r="I340" s="304"/>
      <c r="K340" s="129"/>
      <c r="M340" s="129"/>
      <c r="O340" s="129"/>
      <c r="S340" s="172"/>
      <c r="U340" s="129"/>
      <c r="AC340" s="151"/>
      <c r="AD340" s="129"/>
      <c r="AE340" s="172"/>
    </row>
    <row r="341" spans="2:31">
      <c r="B341" s="129"/>
      <c r="C341" s="129"/>
      <c r="I341" s="304"/>
      <c r="K341" s="129"/>
      <c r="M341" s="129"/>
      <c r="O341" s="129"/>
      <c r="S341" s="172"/>
      <c r="U341" s="129"/>
      <c r="AC341" s="151"/>
      <c r="AD341" s="129"/>
      <c r="AE341" s="172"/>
    </row>
    <row r="342" spans="2:31">
      <c r="B342" s="129"/>
      <c r="C342" s="129"/>
      <c r="I342" s="304"/>
      <c r="K342" s="129"/>
      <c r="M342" s="129"/>
      <c r="O342" s="129"/>
      <c r="S342" s="172"/>
      <c r="U342" s="129"/>
      <c r="AC342" s="151"/>
      <c r="AD342" s="129"/>
      <c r="AE342" s="172"/>
    </row>
    <row r="343" spans="2:31">
      <c r="B343" s="129"/>
      <c r="C343" s="129"/>
      <c r="I343" s="304"/>
      <c r="K343" s="129"/>
      <c r="M343" s="129"/>
      <c r="O343" s="129"/>
      <c r="S343" s="172"/>
      <c r="U343" s="129"/>
      <c r="AC343" s="151"/>
      <c r="AD343" s="129"/>
      <c r="AE343" s="172"/>
    </row>
    <row r="344" spans="2:31">
      <c r="B344" s="129"/>
      <c r="C344" s="129"/>
      <c r="I344" s="304"/>
      <c r="K344" s="129"/>
      <c r="M344" s="129"/>
      <c r="O344" s="129"/>
      <c r="S344" s="172"/>
      <c r="U344" s="129"/>
      <c r="AC344" s="151"/>
      <c r="AD344" s="129"/>
      <c r="AE344" s="172"/>
    </row>
    <row r="345" spans="2:31">
      <c r="B345" s="129"/>
      <c r="C345" s="129"/>
      <c r="I345" s="304"/>
      <c r="K345" s="129"/>
      <c r="M345" s="129"/>
      <c r="O345" s="129"/>
      <c r="S345" s="172"/>
      <c r="U345" s="129"/>
      <c r="AC345" s="151"/>
      <c r="AD345" s="129"/>
      <c r="AE345" s="172"/>
    </row>
    <row r="346" spans="2:31">
      <c r="B346" s="129"/>
      <c r="C346" s="129"/>
      <c r="I346" s="304"/>
      <c r="K346" s="129"/>
      <c r="M346" s="129"/>
      <c r="O346" s="129"/>
      <c r="S346" s="172"/>
      <c r="U346" s="129"/>
      <c r="AC346" s="151"/>
      <c r="AD346" s="129"/>
      <c r="AE346" s="172"/>
    </row>
    <row r="347" spans="2:31">
      <c r="B347" s="129"/>
      <c r="C347" s="129"/>
      <c r="I347" s="304"/>
      <c r="K347" s="129"/>
      <c r="M347" s="129"/>
      <c r="O347" s="129"/>
      <c r="S347" s="172"/>
      <c r="U347" s="129"/>
      <c r="AC347" s="151"/>
      <c r="AD347" s="129"/>
      <c r="AE347" s="172"/>
    </row>
    <row r="348" spans="2:31">
      <c r="B348" s="129"/>
      <c r="C348" s="129"/>
      <c r="I348" s="304"/>
      <c r="K348" s="129"/>
      <c r="M348" s="129"/>
      <c r="O348" s="129"/>
      <c r="S348" s="172"/>
      <c r="U348" s="129"/>
      <c r="AC348" s="151"/>
      <c r="AD348" s="129"/>
      <c r="AE348" s="172"/>
    </row>
    <row r="349" spans="2:31">
      <c r="B349" s="129"/>
      <c r="C349" s="129"/>
      <c r="I349" s="304"/>
      <c r="K349" s="129"/>
      <c r="M349" s="129"/>
      <c r="O349" s="129"/>
      <c r="S349" s="172"/>
      <c r="U349" s="129"/>
      <c r="AC349" s="151"/>
      <c r="AD349" s="129"/>
      <c r="AE349" s="172"/>
    </row>
    <row r="350" spans="2:31">
      <c r="B350" s="129"/>
      <c r="C350" s="129"/>
      <c r="I350" s="304"/>
      <c r="K350" s="129"/>
      <c r="M350" s="129"/>
      <c r="O350" s="129"/>
      <c r="S350" s="172"/>
      <c r="U350" s="129"/>
      <c r="AC350" s="151"/>
      <c r="AD350" s="129"/>
      <c r="AE350" s="172"/>
    </row>
    <row r="351" spans="2:31">
      <c r="B351" s="129"/>
      <c r="C351" s="129"/>
      <c r="I351" s="304"/>
      <c r="K351" s="129"/>
      <c r="M351" s="129"/>
      <c r="O351" s="129"/>
      <c r="S351" s="172"/>
      <c r="U351" s="129"/>
      <c r="AC351" s="151"/>
      <c r="AD351" s="129"/>
      <c r="AE351" s="172"/>
    </row>
    <row r="352" spans="2:31">
      <c r="B352" s="129"/>
      <c r="C352" s="129"/>
      <c r="I352" s="304"/>
      <c r="K352" s="129"/>
      <c r="M352" s="129"/>
      <c r="O352" s="129"/>
      <c r="S352" s="172"/>
      <c r="U352" s="129"/>
      <c r="AC352" s="151"/>
      <c r="AD352" s="129"/>
      <c r="AE352" s="172"/>
    </row>
    <row r="353" spans="2:31">
      <c r="B353" s="129"/>
      <c r="C353" s="129"/>
      <c r="I353" s="304"/>
      <c r="K353" s="129"/>
      <c r="M353" s="129"/>
      <c r="O353" s="129"/>
      <c r="S353" s="172"/>
      <c r="U353" s="129"/>
      <c r="AC353" s="151"/>
      <c r="AD353" s="129"/>
      <c r="AE353" s="172"/>
    </row>
    <row r="354" spans="2:31">
      <c r="B354" s="129"/>
      <c r="C354" s="129"/>
      <c r="I354" s="304"/>
      <c r="K354" s="129"/>
      <c r="M354" s="129"/>
      <c r="O354" s="129"/>
      <c r="S354" s="172"/>
      <c r="U354" s="129"/>
      <c r="AC354" s="151"/>
      <c r="AD354" s="129"/>
      <c r="AE354" s="172"/>
    </row>
    <row r="355" spans="2:31">
      <c r="B355" s="129"/>
      <c r="C355" s="129"/>
      <c r="I355" s="304"/>
      <c r="K355" s="129"/>
      <c r="M355" s="129"/>
      <c r="O355" s="129"/>
      <c r="S355" s="172"/>
      <c r="U355" s="129"/>
      <c r="AC355" s="151"/>
      <c r="AD355" s="129"/>
      <c r="AE355" s="172"/>
    </row>
    <row r="356" spans="2:31">
      <c r="B356" s="129"/>
      <c r="C356" s="129"/>
      <c r="I356" s="304"/>
      <c r="K356" s="129"/>
      <c r="M356" s="129"/>
      <c r="O356" s="129"/>
      <c r="S356" s="172"/>
      <c r="U356" s="129"/>
      <c r="AC356" s="151"/>
      <c r="AD356" s="129"/>
      <c r="AE356" s="172"/>
    </row>
    <row r="357" spans="2:31">
      <c r="B357" s="129"/>
      <c r="C357" s="129"/>
      <c r="I357" s="304"/>
      <c r="K357" s="129"/>
      <c r="M357" s="129"/>
      <c r="O357" s="129"/>
      <c r="S357" s="172"/>
      <c r="U357" s="129"/>
      <c r="AC357" s="151"/>
      <c r="AD357" s="129"/>
      <c r="AE357" s="172"/>
    </row>
    <row r="358" spans="2:31">
      <c r="B358" s="129"/>
      <c r="C358" s="129"/>
      <c r="I358" s="304"/>
      <c r="K358" s="129"/>
      <c r="M358" s="129"/>
      <c r="O358" s="129"/>
      <c r="S358" s="172"/>
      <c r="U358" s="129"/>
      <c r="AC358" s="151"/>
      <c r="AD358" s="129"/>
      <c r="AE358" s="172"/>
    </row>
    <row r="359" spans="2:31">
      <c r="B359" s="129"/>
      <c r="C359" s="129"/>
      <c r="I359" s="304"/>
      <c r="K359" s="129"/>
      <c r="M359" s="129"/>
      <c r="O359" s="129"/>
      <c r="S359" s="172"/>
      <c r="U359" s="129"/>
      <c r="AC359" s="151"/>
      <c r="AD359" s="129"/>
      <c r="AE359" s="172"/>
    </row>
    <row r="360" spans="2:31">
      <c r="B360" s="129"/>
      <c r="C360" s="129"/>
      <c r="I360" s="304"/>
      <c r="K360" s="129"/>
      <c r="M360" s="129"/>
      <c r="O360" s="129"/>
      <c r="S360" s="172"/>
      <c r="U360" s="129"/>
      <c r="AC360" s="151"/>
      <c r="AD360" s="129"/>
      <c r="AE360" s="172"/>
    </row>
    <row r="361" spans="2:31">
      <c r="B361" s="129"/>
      <c r="C361" s="129"/>
      <c r="I361" s="304"/>
      <c r="K361" s="129"/>
      <c r="M361" s="129"/>
      <c r="O361" s="129"/>
      <c r="S361" s="172"/>
      <c r="U361" s="129"/>
      <c r="AC361" s="151"/>
      <c r="AD361" s="129"/>
      <c r="AE361" s="172"/>
    </row>
    <row r="362" spans="2:31">
      <c r="B362" s="129"/>
      <c r="C362" s="129"/>
      <c r="I362" s="304"/>
      <c r="K362" s="129"/>
      <c r="M362" s="129"/>
      <c r="O362" s="129"/>
      <c r="S362" s="172"/>
      <c r="U362" s="129"/>
      <c r="AC362" s="151"/>
      <c r="AD362" s="129"/>
      <c r="AE362" s="172"/>
    </row>
    <row r="363" spans="2:31">
      <c r="B363" s="129"/>
      <c r="C363" s="129"/>
      <c r="I363" s="304"/>
      <c r="K363" s="129"/>
      <c r="M363" s="129"/>
      <c r="O363" s="129"/>
      <c r="S363" s="172"/>
      <c r="U363" s="129"/>
      <c r="AC363" s="151"/>
      <c r="AD363" s="129"/>
      <c r="AE363" s="172"/>
    </row>
    <row r="364" spans="2:31">
      <c r="B364" s="129"/>
      <c r="C364" s="129"/>
      <c r="I364" s="304"/>
      <c r="K364" s="129"/>
      <c r="M364" s="129"/>
      <c r="O364" s="129"/>
      <c r="S364" s="172"/>
      <c r="U364" s="129"/>
      <c r="AC364" s="151"/>
      <c r="AD364" s="129"/>
      <c r="AE364" s="172"/>
    </row>
    <row r="365" spans="2:31">
      <c r="B365" s="129"/>
      <c r="C365" s="129"/>
      <c r="I365" s="304"/>
      <c r="K365" s="129"/>
      <c r="M365" s="129"/>
      <c r="O365" s="129"/>
      <c r="S365" s="172"/>
      <c r="U365" s="129"/>
      <c r="AC365" s="151"/>
      <c r="AD365" s="129"/>
      <c r="AE365" s="172"/>
    </row>
    <row r="366" spans="2:31">
      <c r="B366" s="129"/>
      <c r="C366" s="129"/>
      <c r="I366" s="304"/>
      <c r="K366" s="129"/>
      <c r="M366" s="129"/>
      <c r="O366" s="129"/>
      <c r="S366" s="172"/>
      <c r="U366" s="129"/>
      <c r="AC366" s="151"/>
      <c r="AD366" s="129"/>
      <c r="AE366" s="172"/>
    </row>
    <row r="367" spans="2:31">
      <c r="B367" s="129"/>
      <c r="C367" s="129"/>
      <c r="I367" s="304"/>
      <c r="K367" s="129"/>
      <c r="M367" s="129"/>
      <c r="O367" s="129"/>
      <c r="S367" s="172"/>
      <c r="U367" s="129"/>
      <c r="AC367" s="151"/>
      <c r="AD367" s="129"/>
      <c r="AE367" s="172"/>
    </row>
    <row r="368" spans="2:31">
      <c r="B368" s="129"/>
      <c r="C368" s="129"/>
      <c r="I368" s="304"/>
      <c r="K368" s="129"/>
      <c r="M368" s="129"/>
      <c r="O368" s="129"/>
      <c r="S368" s="172"/>
      <c r="U368" s="129"/>
      <c r="AC368" s="151"/>
      <c r="AD368" s="129"/>
      <c r="AE368" s="172"/>
    </row>
    <row r="369" spans="2:31">
      <c r="B369" s="129"/>
      <c r="C369" s="129"/>
      <c r="I369" s="304"/>
      <c r="K369" s="129"/>
      <c r="M369" s="129"/>
      <c r="O369" s="129"/>
      <c r="S369" s="172"/>
      <c r="U369" s="129"/>
      <c r="AC369" s="151"/>
      <c r="AD369" s="129"/>
      <c r="AE369" s="172"/>
    </row>
    <row r="370" spans="2:31">
      <c r="B370" s="129"/>
      <c r="C370" s="129"/>
      <c r="I370" s="304"/>
      <c r="K370" s="129"/>
      <c r="M370" s="129"/>
      <c r="O370" s="129"/>
      <c r="S370" s="172"/>
      <c r="U370" s="129"/>
      <c r="AC370" s="151"/>
      <c r="AD370" s="129"/>
      <c r="AE370" s="172"/>
    </row>
    <row r="371" spans="2:31">
      <c r="B371" s="129"/>
      <c r="C371" s="129"/>
      <c r="I371" s="304"/>
      <c r="K371" s="129"/>
      <c r="M371" s="129"/>
      <c r="O371" s="129"/>
      <c r="S371" s="172"/>
      <c r="U371" s="129"/>
      <c r="AC371" s="151"/>
      <c r="AD371" s="129"/>
      <c r="AE371" s="172"/>
    </row>
    <row r="372" spans="2:31">
      <c r="B372" s="129"/>
      <c r="C372" s="129"/>
      <c r="I372" s="304"/>
      <c r="K372" s="129"/>
      <c r="M372" s="129"/>
      <c r="O372" s="129"/>
      <c r="S372" s="172"/>
      <c r="U372" s="129"/>
      <c r="AC372" s="151"/>
      <c r="AD372" s="129"/>
      <c r="AE372" s="172"/>
    </row>
    <row r="373" spans="2:31">
      <c r="B373" s="129"/>
      <c r="C373" s="129"/>
      <c r="I373" s="304"/>
      <c r="K373" s="129"/>
      <c r="M373" s="129"/>
      <c r="O373" s="129"/>
      <c r="S373" s="172"/>
      <c r="U373" s="129"/>
      <c r="AC373" s="151"/>
      <c r="AD373" s="129"/>
      <c r="AE373" s="172"/>
    </row>
    <row r="374" spans="2:31">
      <c r="B374" s="129"/>
      <c r="C374" s="129"/>
      <c r="I374" s="304"/>
      <c r="K374" s="129"/>
      <c r="M374" s="129"/>
      <c r="O374" s="129"/>
      <c r="S374" s="172"/>
      <c r="U374" s="129"/>
      <c r="AC374" s="151"/>
      <c r="AD374" s="129"/>
      <c r="AE374" s="172"/>
    </row>
    <row r="375" spans="2:31">
      <c r="B375" s="129"/>
      <c r="C375" s="129"/>
      <c r="I375" s="304"/>
      <c r="K375" s="129"/>
      <c r="M375" s="129"/>
      <c r="O375" s="129"/>
      <c r="S375" s="172"/>
      <c r="U375" s="129"/>
      <c r="AC375" s="151"/>
      <c r="AD375" s="129"/>
      <c r="AE375" s="172"/>
    </row>
    <row r="376" spans="2:31">
      <c r="B376" s="129"/>
      <c r="C376" s="129"/>
      <c r="I376" s="304"/>
      <c r="K376" s="129"/>
      <c r="M376" s="129"/>
      <c r="O376" s="129"/>
      <c r="S376" s="172"/>
      <c r="U376" s="129"/>
      <c r="AC376" s="151"/>
      <c r="AD376" s="129"/>
      <c r="AE376" s="172"/>
    </row>
    <row r="377" spans="2:31">
      <c r="B377" s="129"/>
      <c r="C377" s="129"/>
      <c r="I377" s="304"/>
      <c r="K377" s="129"/>
      <c r="M377" s="129"/>
      <c r="O377" s="129"/>
      <c r="S377" s="172"/>
      <c r="U377" s="129"/>
      <c r="AC377" s="151"/>
      <c r="AD377" s="129"/>
      <c r="AE377" s="172"/>
    </row>
    <row r="378" spans="2:31">
      <c r="B378" s="129"/>
      <c r="C378" s="129"/>
      <c r="I378" s="304"/>
      <c r="K378" s="129"/>
      <c r="M378" s="129"/>
      <c r="O378" s="129"/>
      <c r="S378" s="172"/>
      <c r="U378" s="129"/>
      <c r="AC378" s="151"/>
      <c r="AD378" s="129"/>
      <c r="AE378" s="172"/>
    </row>
    <row r="379" spans="2:31">
      <c r="B379" s="129"/>
      <c r="C379" s="129"/>
      <c r="I379" s="304"/>
      <c r="K379" s="129"/>
      <c r="M379" s="129"/>
      <c r="O379" s="129"/>
      <c r="S379" s="172"/>
      <c r="U379" s="129"/>
      <c r="AC379" s="151"/>
      <c r="AD379" s="129"/>
      <c r="AE379" s="172"/>
    </row>
    <row r="380" spans="2:31">
      <c r="B380" s="129"/>
      <c r="C380" s="129"/>
      <c r="I380" s="304"/>
      <c r="K380" s="129"/>
      <c r="M380" s="129"/>
      <c r="O380" s="129"/>
      <c r="S380" s="172"/>
      <c r="U380" s="129"/>
      <c r="AC380" s="151"/>
      <c r="AD380" s="129"/>
      <c r="AE380" s="172"/>
    </row>
    <row r="381" spans="2:31">
      <c r="B381" s="129"/>
      <c r="C381" s="129"/>
      <c r="I381" s="304"/>
      <c r="K381" s="129"/>
      <c r="M381" s="129"/>
      <c r="O381" s="129"/>
      <c r="S381" s="172"/>
      <c r="U381" s="129"/>
      <c r="AC381" s="151"/>
      <c r="AD381" s="129"/>
      <c r="AE381" s="172"/>
    </row>
    <row r="382" spans="2:31">
      <c r="B382" s="129"/>
      <c r="C382" s="129"/>
      <c r="I382" s="304"/>
      <c r="K382" s="129"/>
      <c r="M382" s="129"/>
      <c r="O382" s="129"/>
      <c r="S382" s="172"/>
      <c r="U382" s="129"/>
      <c r="AC382" s="151"/>
      <c r="AD382" s="129"/>
      <c r="AE382" s="172"/>
    </row>
    <row r="383" spans="2:31">
      <c r="B383" s="129"/>
      <c r="C383" s="129"/>
      <c r="I383" s="304"/>
      <c r="K383" s="129"/>
      <c r="M383" s="129"/>
      <c r="O383" s="129"/>
      <c r="S383" s="172"/>
      <c r="U383" s="129"/>
      <c r="AC383" s="151"/>
      <c r="AD383" s="129"/>
      <c r="AE383" s="172"/>
    </row>
    <row r="384" spans="2:31">
      <c r="B384" s="129"/>
      <c r="C384" s="129"/>
      <c r="I384" s="304"/>
      <c r="K384" s="129"/>
      <c r="M384" s="129"/>
      <c r="O384" s="129"/>
      <c r="S384" s="172"/>
      <c r="U384" s="129"/>
      <c r="AC384" s="151"/>
      <c r="AD384" s="129"/>
      <c r="AE384" s="172"/>
    </row>
    <row r="385" spans="2:31">
      <c r="B385" s="129"/>
      <c r="C385" s="129"/>
      <c r="I385" s="304"/>
      <c r="K385" s="129"/>
      <c r="M385" s="129"/>
      <c r="O385" s="129"/>
      <c r="S385" s="172"/>
      <c r="U385" s="129"/>
      <c r="AC385" s="151"/>
      <c r="AD385" s="129"/>
      <c r="AE385" s="172"/>
    </row>
    <row r="386" spans="2:31">
      <c r="B386" s="129"/>
      <c r="C386" s="129"/>
      <c r="I386" s="304"/>
      <c r="K386" s="129"/>
      <c r="M386" s="129"/>
      <c r="O386" s="129"/>
      <c r="S386" s="172"/>
      <c r="U386" s="129"/>
      <c r="AC386" s="151"/>
      <c r="AD386" s="129"/>
      <c r="AE386" s="172"/>
    </row>
    <row r="387" spans="2:31">
      <c r="B387" s="129"/>
      <c r="C387" s="129"/>
      <c r="I387" s="304"/>
      <c r="K387" s="129"/>
      <c r="M387" s="129"/>
      <c r="O387" s="129"/>
      <c r="S387" s="172"/>
      <c r="U387" s="129"/>
      <c r="AC387" s="151"/>
      <c r="AD387" s="129"/>
      <c r="AE387" s="172"/>
    </row>
    <row r="388" spans="2:31">
      <c r="B388" s="129"/>
      <c r="C388" s="129"/>
      <c r="I388" s="304"/>
      <c r="K388" s="129"/>
      <c r="M388" s="129"/>
      <c r="O388" s="129"/>
      <c r="S388" s="172"/>
      <c r="U388" s="129"/>
      <c r="AC388" s="151"/>
      <c r="AD388" s="129"/>
      <c r="AE388" s="172"/>
    </row>
    <row r="389" spans="2:31">
      <c r="B389" s="129"/>
      <c r="C389" s="129"/>
      <c r="I389" s="304"/>
      <c r="K389" s="129"/>
      <c r="M389" s="129"/>
      <c r="O389" s="129"/>
      <c r="S389" s="172"/>
      <c r="U389" s="129"/>
      <c r="AC389" s="151"/>
      <c r="AD389" s="129"/>
      <c r="AE389" s="172"/>
    </row>
    <row r="390" spans="2:31">
      <c r="B390" s="129"/>
      <c r="C390" s="129"/>
      <c r="I390" s="304"/>
      <c r="K390" s="129"/>
      <c r="M390" s="129"/>
      <c r="O390" s="129"/>
      <c r="S390" s="172"/>
      <c r="U390" s="129"/>
      <c r="AC390" s="151"/>
      <c r="AD390" s="129"/>
      <c r="AE390" s="172"/>
    </row>
    <row r="391" spans="2:31">
      <c r="B391" s="129"/>
      <c r="C391" s="129"/>
      <c r="I391" s="304"/>
      <c r="K391" s="129"/>
      <c r="M391" s="129"/>
      <c r="O391" s="129"/>
      <c r="S391" s="172"/>
      <c r="U391" s="129"/>
      <c r="AC391" s="151"/>
      <c r="AD391" s="129"/>
      <c r="AE391" s="172"/>
    </row>
    <row r="392" spans="2:31">
      <c r="B392" s="129"/>
      <c r="C392" s="129"/>
      <c r="I392" s="304"/>
      <c r="K392" s="129"/>
      <c r="M392" s="129"/>
      <c r="O392" s="129"/>
      <c r="S392" s="172"/>
      <c r="U392" s="129"/>
      <c r="AC392" s="151"/>
      <c r="AD392" s="129"/>
      <c r="AE392" s="172"/>
    </row>
    <row r="393" spans="2:31">
      <c r="B393" s="129"/>
      <c r="C393" s="129"/>
      <c r="I393" s="304"/>
      <c r="K393" s="129"/>
      <c r="M393" s="129"/>
      <c r="O393" s="129"/>
      <c r="S393" s="172"/>
      <c r="U393" s="129"/>
      <c r="AC393" s="151"/>
      <c r="AD393" s="129"/>
      <c r="AE393" s="172"/>
    </row>
    <row r="394" spans="2:31">
      <c r="B394" s="129"/>
      <c r="C394" s="129"/>
      <c r="I394" s="304"/>
      <c r="K394" s="129"/>
      <c r="M394" s="129"/>
      <c r="O394" s="129"/>
      <c r="S394" s="172"/>
      <c r="U394" s="129"/>
      <c r="AC394" s="151"/>
      <c r="AD394" s="129"/>
      <c r="AE394" s="172"/>
    </row>
    <row r="395" spans="2:31">
      <c r="B395" s="129"/>
      <c r="C395" s="129"/>
      <c r="I395" s="304"/>
      <c r="K395" s="129"/>
      <c r="M395" s="129"/>
      <c r="O395" s="129"/>
      <c r="S395" s="172"/>
      <c r="U395" s="129"/>
      <c r="AC395" s="151"/>
      <c r="AD395" s="129"/>
      <c r="AE395" s="172"/>
    </row>
    <row r="396" spans="2:31">
      <c r="B396" s="129"/>
      <c r="C396" s="129"/>
      <c r="I396" s="304"/>
      <c r="K396" s="129"/>
      <c r="M396" s="129"/>
      <c r="O396" s="129"/>
      <c r="S396" s="172"/>
      <c r="U396" s="129"/>
      <c r="AC396" s="151"/>
      <c r="AD396" s="129"/>
      <c r="AE396" s="172"/>
    </row>
    <row r="397" spans="2:31">
      <c r="B397" s="129"/>
      <c r="C397" s="129"/>
      <c r="I397" s="304"/>
      <c r="K397" s="129"/>
      <c r="M397" s="129"/>
      <c r="O397" s="129"/>
      <c r="S397" s="172"/>
      <c r="U397" s="129"/>
      <c r="AC397" s="151"/>
      <c r="AD397" s="129"/>
      <c r="AE397" s="172"/>
    </row>
    <row r="398" spans="2:31">
      <c r="B398" s="129"/>
      <c r="C398" s="129"/>
      <c r="I398" s="304"/>
      <c r="K398" s="129"/>
      <c r="M398" s="129"/>
      <c r="O398" s="129"/>
      <c r="S398" s="172"/>
      <c r="U398" s="129"/>
      <c r="AC398" s="151"/>
      <c r="AD398" s="129"/>
      <c r="AE398" s="172"/>
    </row>
    <row r="399" spans="2:31">
      <c r="B399" s="129"/>
      <c r="C399" s="129"/>
      <c r="I399" s="304"/>
      <c r="K399" s="129"/>
      <c r="M399" s="129"/>
      <c r="O399" s="129"/>
      <c r="S399" s="172"/>
      <c r="U399" s="129"/>
      <c r="AC399" s="151"/>
      <c r="AD399" s="129"/>
      <c r="AE399" s="172"/>
    </row>
    <row r="400" spans="2:31">
      <c r="B400" s="129"/>
      <c r="C400" s="129"/>
      <c r="I400" s="304"/>
      <c r="K400" s="129"/>
      <c r="M400" s="129"/>
      <c r="O400" s="129"/>
      <c r="S400" s="172"/>
      <c r="U400" s="129"/>
      <c r="AC400" s="151"/>
      <c r="AD400" s="129"/>
      <c r="AE400" s="172"/>
    </row>
    <row r="401" spans="1:31">
      <c r="A401" s="172"/>
      <c r="B401" s="173"/>
      <c r="C401" s="173"/>
      <c r="D401" s="172"/>
      <c r="E401" s="172"/>
      <c r="F401" s="172"/>
      <c r="G401" s="172"/>
      <c r="H401" s="172"/>
      <c r="I401" s="307"/>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7"/>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7"/>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7"/>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7"/>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7"/>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1"/>
      <c r="AD409" s="174"/>
      <c r="AE409" s="172"/>
    </row>
    <row r="410" spans="1:31">
      <c r="U410" s="173"/>
      <c r="V410" s="172"/>
      <c r="W410" s="172"/>
      <c r="X410" s="172"/>
      <c r="Y410" s="172"/>
      <c r="Z410" s="172"/>
      <c r="AA410" s="172"/>
      <c r="AB410" s="172"/>
      <c r="AC410" s="291"/>
      <c r="AD410" s="174"/>
      <c r="AE410" s="172"/>
    </row>
    <row r="411" spans="1:31">
      <c r="U411" s="173"/>
      <c r="V411" s="172"/>
      <c r="W411" s="172"/>
      <c r="X411" s="172"/>
      <c r="Y411" s="172"/>
      <c r="Z411" s="172"/>
      <c r="AA411" s="172"/>
      <c r="AB411" s="172"/>
      <c r="AC411" s="291"/>
      <c r="AD411" s="174"/>
      <c r="AE411" s="172"/>
    </row>
    <row r="412" spans="1:31">
      <c r="U412" s="173"/>
      <c r="V412" s="172"/>
      <c r="W412" s="172"/>
      <c r="X412" s="172"/>
      <c r="Y412" s="172"/>
      <c r="Z412" s="172"/>
      <c r="AA412" s="172"/>
      <c r="AB412" s="172"/>
      <c r="AC412" s="291"/>
      <c r="AD412" s="174"/>
      <c r="AE412" s="172"/>
    </row>
    <row r="413" spans="1:31">
      <c r="U413" s="173"/>
      <c r="V413" s="172"/>
      <c r="W413" s="172"/>
      <c r="X413" s="172"/>
      <c r="Y413" s="172"/>
      <c r="Z413" s="172"/>
      <c r="AA413" s="172"/>
      <c r="AB413" s="172"/>
      <c r="AC413" s="291"/>
      <c r="AD413" s="174"/>
      <c r="AE413" s="172"/>
    </row>
    <row r="414" spans="1:31">
      <c r="U414" s="173"/>
      <c r="V414" s="172"/>
      <c r="W414" s="172"/>
      <c r="X414" s="172"/>
      <c r="Y414" s="172"/>
      <c r="Z414" s="172"/>
      <c r="AA414" s="172"/>
      <c r="AB414" s="172"/>
      <c r="AC414" s="291"/>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zoomScaleNormal="100" workbookViewId="0">
      <selection activeCell="D11" sqref="D11"/>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4" bestFit="1" customWidth="1"/>
    <col min="20" max="20" width="23" style="676"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800" t="s">
        <v>164</v>
      </c>
      <c r="B1" s="801" t="s">
        <v>2798</v>
      </c>
      <c r="C1" s="801" t="s">
        <v>1214</v>
      </c>
      <c r="D1" s="801" t="s">
        <v>1215</v>
      </c>
      <c r="E1" s="801" t="s">
        <v>1216</v>
      </c>
      <c r="F1" s="801" t="s">
        <v>2140</v>
      </c>
      <c r="G1" s="801" t="s">
        <v>2139</v>
      </c>
      <c r="H1" s="801" t="s">
        <v>768</v>
      </c>
      <c r="I1" s="801" t="s">
        <v>1219</v>
      </c>
      <c r="J1" s="801" t="s">
        <v>771</v>
      </c>
      <c r="K1" s="801" t="s">
        <v>1222</v>
      </c>
      <c r="L1" s="801" t="s">
        <v>1223</v>
      </c>
      <c r="M1" s="801" t="s">
        <v>1705</v>
      </c>
      <c r="N1" s="801" t="s">
        <v>1934</v>
      </c>
      <c r="O1" s="801" t="s">
        <v>1225</v>
      </c>
      <c r="P1" s="801" t="s">
        <v>1226</v>
      </c>
      <c r="Q1" s="801" t="s">
        <v>147</v>
      </c>
      <c r="R1" s="801">
        <v>0</v>
      </c>
      <c r="S1" s="802"/>
      <c r="T1" s="803"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9"/>
      <c r="L2" s="769"/>
      <c r="M2" s="786"/>
      <c r="N2" s="787"/>
      <c r="O2" s="114" t="s">
        <v>1974</v>
      </c>
      <c r="P2" s="124"/>
      <c r="Q2" s="793"/>
      <c r="R2" s="792"/>
      <c r="S2" s="751"/>
      <c r="T2" s="714"/>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6">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9"/>
      <c r="L3" s="769"/>
      <c r="M3" s="786"/>
      <c r="N3" s="787">
        <v>2564</v>
      </c>
      <c r="O3" s="114" t="s">
        <v>1974</v>
      </c>
      <c r="P3" s="124"/>
      <c r="Q3" s="794"/>
      <c r="R3" s="116">
        <f>IF(OR(IF(includep1,$B3&lt;=1), IF(includep2,$B3&lt;=2), IF(includep3,$B3&lt;=3), IF(includep4,$B3&lt;=4), IF(includep5,$B3&lt;=5)),MAX($R$1:R2)+1,"")</f>
        <v>1</v>
      </c>
      <c r="S3" s="751">
        <v>1</v>
      </c>
      <c r="T3" s="714"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33.876973758418337</v>
      </c>
      <c r="D4" s="114"/>
      <c r="E4" s="114"/>
      <c r="F4" s="115"/>
      <c r="G4" s="115"/>
      <c r="H4" s="114"/>
      <c r="I4" s="114"/>
      <c r="J4" s="116"/>
      <c r="K4" s="769"/>
      <c r="L4" s="769"/>
      <c r="M4" s="786"/>
      <c r="N4" s="787">
        <v>1900</v>
      </c>
      <c r="O4" s="114" t="s">
        <v>1974</v>
      </c>
      <c r="P4" s="124"/>
      <c r="Q4" s="794"/>
      <c r="R4" s="116">
        <f>IF(OR(IF(includep1,$B4&lt;=1), IF(includep2,$B4&lt;=2), IF(includep3,$B4&lt;=3), IF(includep4,$B4&lt;=4), IF(includep5,$B4&lt;=5)),MAX($R$1:R3)+1,"")</f>
        <v>2</v>
      </c>
      <c r="S4" s="751">
        <v>2</v>
      </c>
      <c r="T4" s="714"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9"/>
      <c r="L5" s="769"/>
      <c r="M5" s="786"/>
      <c r="N5" s="787">
        <v>912</v>
      </c>
      <c r="O5" s="114" t="s">
        <v>1974</v>
      </c>
      <c r="P5" s="124"/>
      <c r="Q5" s="794">
        <f>'Damage Calc'!I48*'Damage Calc'!L48*6*$AA$2*100</f>
        <v>27.818134119832962</v>
      </c>
      <c r="R5" s="116">
        <f>IF(OR(IF(includep1,$B5&lt;=1), IF(includep2,$B5&lt;=2), IF(includep3,$B5&lt;=3), IF(includep4,$B5&lt;=4), IF(includep5,$B5&lt;=5)),MAX($R$1:R4)+1,"")</f>
        <v>3</v>
      </c>
      <c r="S5" s="751">
        <v>3</v>
      </c>
      <c r="T5" s="714" t="str">
        <f t="shared" si="0"/>
        <v>Demonslaying</v>
      </c>
      <c r="U5" s="124"/>
      <c r="W5" s="6" t="s">
        <v>1279</v>
      </c>
      <c r="X5" s="1347">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474.27763261785674</v>
      </c>
      <c r="J6" s="116"/>
      <c r="K6" s="769"/>
      <c r="L6" s="769"/>
      <c r="M6" s="786"/>
      <c r="N6" s="787">
        <v>3225</v>
      </c>
      <c r="O6" s="114" t="s">
        <v>1974</v>
      </c>
      <c r="P6" s="124"/>
      <c r="Q6" s="794"/>
      <c r="R6" s="116" t="str">
        <f>IF(OR(IF(includep1,$B6&lt;=1), IF(includep2,$B6&lt;=2), IF(includep3,$B6&lt;=3), IF(includep4,$B6&lt;=4), IF(includep5,$B6&lt;=5)),MAX($R$1:R5)+1,"")</f>
        <v/>
      </c>
      <c r="S6" s="751">
        <v>4</v>
      </c>
      <c r="T6" s="714" t="str">
        <f t="shared" si="0"/>
        <v>Fiery Weapon</v>
      </c>
      <c r="U6" s="124"/>
      <c r="V6" s="6"/>
      <c r="W6" s="795"/>
      <c r="X6" s="795">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9"/>
      <c r="L7" s="769"/>
      <c r="M7" s="786"/>
      <c r="N7" s="787">
        <v>803</v>
      </c>
      <c r="O7" s="114" t="s">
        <v>1974</v>
      </c>
      <c r="P7" s="124"/>
      <c r="Q7" s="794">
        <f>'Damage Calc'!I48*'Damage Calc'!L48*6*$AA$2*40*(1+(0.01*miseryimp)*misery)*IF(CoE,1.25,1)</f>
        <v>14.604520412912304</v>
      </c>
      <c r="R7" s="116">
        <f>IF(OR(IF(includep1,$B7&lt;=1), IF(includep2,$B7&lt;=2), IF(includep3,$B7&lt;=3), IF(includep4,$B7&lt;=4), IF(includep5,$B7&lt;=5)),MAX($R$1:R6)+1,"")</f>
        <v>4</v>
      </c>
      <c r="S7" s="751">
        <v>5</v>
      </c>
      <c r="T7" s="714"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9"/>
      <c r="L8" s="769"/>
      <c r="M8" s="786"/>
      <c r="N8" s="787">
        <v>3222</v>
      </c>
      <c r="O8" s="114" t="s">
        <v>1974</v>
      </c>
      <c r="P8" s="124"/>
      <c r="Q8" s="794"/>
      <c r="R8" s="116">
        <f>IF(OR(IF(includep1,$B8&lt;=1), IF(includep2,$B8&lt;=2), IF(includep3,$B8&lt;=3), IF(includep4,$B8&lt;=4), IF(includep5,$B8&lt;=5)),MAX($R$1:R7)+1,"")</f>
        <v>5</v>
      </c>
      <c r="S8" s="751">
        <v>6</v>
      </c>
      <c r="T8" s="714"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9"/>
      <c r="L9" s="769"/>
      <c r="M9" s="786"/>
      <c r="N9" s="787">
        <v>1898</v>
      </c>
      <c r="O9" s="114" t="s">
        <v>1974</v>
      </c>
      <c r="P9" s="124"/>
      <c r="Q9" s="794">
        <f>'Damage Calc'!I48*'Damage Calc'!L48*6*$AA$2*19*IF(SW,1.1,1)*(1+(0.01*miseryimp)*misery)</f>
        <v>6.1046895325973436</v>
      </c>
      <c r="R9" s="116">
        <f>IF(OR(IF(includep1,$B9&lt;=1), IF(includep2,$B9&lt;=2), IF(includep3,$B9&lt;=3), IF(includep4,$B9&lt;=4), IF(includep5,$B9&lt;=5)),MAX($R$1:R8)+1,"")</f>
        <v>6</v>
      </c>
      <c r="S9" s="751">
        <v>7</v>
      </c>
      <c r="T9" s="714"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9">
        <v>7</v>
      </c>
      <c r="L10" s="769">
        <v>7</v>
      </c>
      <c r="M10" s="786">
        <v>7</v>
      </c>
      <c r="N10" s="787">
        <v>963</v>
      </c>
      <c r="O10" s="114" t="s">
        <v>1974</v>
      </c>
      <c r="P10" s="124"/>
      <c r="Q10" s="794"/>
      <c r="R10" s="116" t="str">
        <f>IF(OR(IF(includep1,$B10&lt;=1), IF(includep2,$B10&lt;=2), IF(includep3,$B10&lt;=3), IF(includep4,$B10&lt;=4), IF(includep5,$B10&lt;=5)),MAX($R$1:R9)+1,"")</f>
        <v/>
      </c>
      <c r="S10" s="751">
        <v>8</v>
      </c>
      <c r="T10" s="714" t="str">
        <f t="shared" si="0"/>
        <v>Superior Striking</v>
      </c>
      <c r="U10" s="124"/>
      <c r="V10" s="6"/>
      <c r="W10" s="48"/>
      <c r="X10" s="48"/>
      <c r="Y10" s="6"/>
      <c r="Z10" s="6"/>
      <c r="AA10" s="6"/>
      <c r="AB10" s="6"/>
      <c r="AC10" s="6"/>
      <c r="AD10" s="6"/>
      <c r="AE10" s="6"/>
      <c r="AF10" s="6"/>
    </row>
    <row r="11" spans="1:39" ht="11.25" customHeight="1">
      <c r="A11" s="10" t="s">
        <v>1229</v>
      </c>
      <c r="B11" s="114">
        <v>1</v>
      </c>
      <c r="C11" s="21"/>
      <c r="D11" s="790">
        <f>120*enMnMHup</f>
        <v>67.753947516836675</v>
      </c>
      <c r="E11" s="21"/>
      <c r="F11" s="21"/>
      <c r="G11" s="21"/>
      <c r="H11" s="21"/>
      <c r="I11" s="21"/>
      <c r="J11" s="790">
        <f>2*hasterate*enMnMHup</f>
        <v>17.807127231989124</v>
      </c>
      <c r="K11" s="769"/>
      <c r="L11" s="769"/>
      <c r="M11" s="769"/>
      <c r="N11" s="787">
        <v>2673</v>
      </c>
      <c r="O11" s="114" t="s">
        <v>1974</v>
      </c>
      <c r="P11" s="769"/>
      <c r="Q11" s="794"/>
      <c r="R11" s="116">
        <f>IF(OR(IF(includep1,$B11&lt;=1), IF(includep2,$B11&lt;=2), IF(includep3,$B11&lt;=3), IF(includep4,$B11&lt;=4), IF(includep5,$B11&lt;=5)),MAX($R$1:R10)+1,"")</f>
        <v>7</v>
      </c>
      <c r="S11" s="751">
        <v>9</v>
      </c>
      <c r="T11" s="714" t="str">
        <f t="shared" si="0"/>
        <v/>
      </c>
      <c r="U11" s="47"/>
      <c r="V11" s="141"/>
      <c r="W11" s="6"/>
      <c r="X11" s="48"/>
      <c r="Y11" s="327"/>
      <c r="Z11" s="327"/>
      <c r="AA11" s="6"/>
      <c r="AB11" s="6"/>
      <c r="AC11" s="6"/>
      <c r="AD11" s="6"/>
      <c r="AE11" s="6"/>
      <c r="AF11" s="6"/>
    </row>
    <row r="12" spans="1:39" ht="11.25" customHeight="1">
      <c r="A12" s="10" t="s">
        <v>2842</v>
      </c>
      <c r="B12" s="114">
        <v>1</v>
      </c>
      <c r="C12" s="21"/>
      <c r="D12" s="790"/>
      <c r="E12" s="21"/>
      <c r="F12" s="21"/>
      <c r="G12" s="21"/>
      <c r="H12" s="21"/>
      <c r="I12" s="21"/>
      <c r="J12" s="790"/>
      <c r="K12" s="769">
        <v>5</v>
      </c>
      <c r="L12" s="769">
        <v>5</v>
      </c>
      <c r="M12" s="769">
        <v>5</v>
      </c>
      <c r="N12" s="787">
        <v>1897</v>
      </c>
      <c r="O12" s="114" t="s">
        <v>1974</v>
      </c>
      <c r="P12" s="769"/>
      <c r="Q12" s="794"/>
      <c r="R12" s="116">
        <f>IF(OR(IF(includep1,$B12&lt;=1), IF(includep2,$B12&lt;=2), IF(includep3,$B12&lt;=3), IF(includep4,$B12&lt;=4), IF(includep5,$B12&lt;=5)),MAX($R$1:R11)+1,"")</f>
        <v>8</v>
      </c>
      <c r="S12" s="751">
        <v>10</v>
      </c>
      <c r="T12" s="714"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1"/>
      <c r="L13" s="114"/>
      <c r="M13" s="116"/>
      <c r="N13" s="114"/>
      <c r="O13" s="114"/>
      <c r="P13" s="114"/>
      <c r="Q13" s="114"/>
      <c r="R13" s="116"/>
      <c r="S13" s="116"/>
      <c r="T13" s="10"/>
      <c r="U13" s="47"/>
      <c r="V13" s="48" t="s">
        <v>3107</v>
      </c>
      <c r="W13" s="48"/>
      <c r="X13" s="48"/>
      <c r="Y13" s="48"/>
      <c r="Z13" s="48"/>
      <c r="AA13" s="6"/>
      <c r="AB13" s="796" t="s">
        <v>1641</v>
      </c>
      <c r="AC13" s="797">
        <f>AC14*12</f>
        <v>13.397746339819724</v>
      </c>
      <c r="AD13" s="797"/>
      <c r="AE13" s="6"/>
      <c r="AF13" s="6"/>
      <c r="AG13" s="6"/>
    </row>
    <row r="14" spans="1:39" ht="11.25" customHeight="1">
      <c r="A14" s="10"/>
      <c r="B14" s="114"/>
      <c r="C14" s="114"/>
      <c r="D14" s="114"/>
      <c r="E14" s="114"/>
      <c r="F14" s="115"/>
      <c r="G14" s="115"/>
      <c r="H14" s="114"/>
      <c r="I14" s="114"/>
      <c r="J14" s="116"/>
      <c r="K14" s="791"/>
      <c r="L14" s="114"/>
      <c r="M14" s="116"/>
      <c r="N14" s="114"/>
      <c r="O14" s="114"/>
      <c r="P14" s="114"/>
      <c r="Q14" s="114"/>
      <c r="R14" s="116"/>
      <c r="S14" s="116"/>
      <c r="T14" s="10"/>
      <c r="U14" s="133"/>
      <c r="V14" s="48" t="s">
        <v>1288</v>
      </c>
      <c r="W14" s="48"/>
      <c r="X14" s="48"/>
      <c r="Y14" s="6"/>
      <c r="Z14" s="6"/>
      <c r="AA14" s="48"/>
      <c r="AB14" s="796" t="s">
        <v>1642</v>
      </c>
      <c r="AC14" s="798">
        <f>IF(mhtemp="deadly poison VII",'Damage Calc'!K48,0)+IF(ohtemp="deadly poison VII",'Damage Calc'!K49,0)</f>
        <v>1.1164788616516437</v>
      </c>
      <c r="AD14" s="798"/>
      <c r="AE14" s="6"/>
      <c r="AF14" s="6"/>
      <c r="AG14" s="6"/>
    </row>
    <row r="15" spans="1:39" ht="11.25" customHeight="1">
      <c r="A15" s="10"/>
      <c r="B15" s="114"/>
      <c r="C15" s="114"/>
      <c r="D15" s="114"/>
      <c r="E15" s="114"/>
      <c r="F15" s="115"/>
      <c r="G15" s="115"/>
      <c r="H15" s="114"/>
      <c r="I15" s="114"/>
      <c r="J15" s="116"/>
      <c r="K15" s="791"/>
      <c r="L15" s="114"/>
      <c r="M15" s="116"/>
      <c r="N15" s="114"/>
      <c r="O15" s="114"/>
      <c r="P15" s="114"/>
      <c r="Q15" s="114"/>
      <c r="R15" s="116"/>
      <c r="S15" s="116"/>
      <c r="T15" s="10"/>
      <c r="U15" s="124"/>
      <c r="V15" s="6" t="s">
        <v>3108</v>
      </c>
      <c r="W15" s="145">
        <f>bMHthit</f>
        <v>0.97956097560975608</v>
      </c>
      <c r="X15" s="145"/>
      <c r="Y15" s="48"/>
      <c r="Z15" s="149"/>
      <c r="AA15" s="6"/>
      <c r="AB15" s="796" t="s">
        <v>1643</v>
      </c>
      <c r="AC15" s="799">
        <f>$AB$2*($AA$2+mpsn)</f>
        <v>0.24899999999999997</v>
      </c>
      <c r="AD15" s="799"/>
      <c r="AE15" s="6"/>
      <c r="AF15" s="6"/>
      <c r="AG15" s="6"/>
    </row>
    <row r="16" spans="1:39" ht="11.25" customHeight="1" thickBot="1">
      <c r="A16" s="800" t="s">
        <v>1645</v>
      </c>
      <c r="B16" s="801" t="s">
        <v>2798</v>
      </c>
      <c r="C16" s="801" t="s">
        <v>1214</v>
      </c>
      <c r="D16" s="801" t="s">
        <v>1215</v>
      </c>
      <c r="E16" s="801" t="s">
        <v>1216</v>
      </c>
      <c r="F16" s="801" t="s">
        <v>2140</v>
      </c>
      <c r="G16" s="801" t="s">
        <v>2139</v>
      </c>
      <c r="H16" s="801" t="s">
        <v>768</v>
      </c>
      <c r="I16" s="801" t="s">
        <v>1219</v>
      </c>
      <c r="J16" s="801" t="s">
        <v>1017</v>
      </c>
      <c r="K16" s="801" t="s">
        <v>1222</v>
      </c>
      <c r="L16" s="801" t="s">
        <v>1223</v>
      </c>
      <c r="M16" s="801" t="s">
        <v>1705</v>
      </c>
      <c r="N16" s="801" t="s">
        <v>146</v>
      </c>
      <c r="O16" s="801" t="s">
        <v>1225</v>
      </c>
      <c r="P16" s="801" t="s">
        <v>1226</v>
      </c>
      <c r="Q16" s="801" t="s">
        <v>147</v>
      </c>
      <c r="R16" s="801">
        <v>0</v>
      </c>
      <c r="S16" s="802"/>
      <c r="T16" s="803" t="s">
        <v>1689</v>
      </c>
      <c r="U16" s="124"/>
      <c r="V16" s="6" t="s">
        <v>1188</v>
      </c>
      <c r="W16" s="145">
        <f>bMHcrit</f>
        <v>0.22111169225206101</v>
      </c>
      <c r="X16" s="145"/>
      <c r="Y16" s="48"/>
      <c r="Z16" s="48"/>
      <c r="AA16" s="48"/>
      <c r="AB16" s="796" t="s">
        <v>1644</v>
      </c>
      <c r="AC16" s="797">
        <f>IF(AC13*AC15&gt;0,AC13*AC15,1)</f>
        <v>3.336038838615111</v>
      </c>
      <c r="AD16" s="797"/>
      <c r="AE16" s="6"/>
      <c r="AF16" s="6"/>
      <c r="AG16" s="6"/>
    </row>
    <row r="17" spans="1:39" ht="11.25" customHeight="1">
      <c r="A17" s="10" t="s">
        <v>2207</v>
      </c>
      <c r="B17" s="114"/>
      <c r="C17" s="114"/>
      <c r="D17" s="114"/>
      <c r="E17" s="114"/>
      <c r="F17" s="115"/>
      <c r="G17" s="115"/>
      <c r="H17" s="114"/>
      <c r="I17" s="114"/>
      <c r="J17" s="116"/>
      <c r="K17" s="769"/>
      <c r="L17" s="769"/>
      <c r="M17" s="786"/>
      <c r="N17" s="787"/>
      <c r="O17" s="114" t="s">
        <v>1974</v>
      </c>
      <c r="P17" s="124"/>
      <c r="Q17" s="793"/>
      <c r="R17" s="792"/>
      <c r="S17" s="749"/>
      <c r="T17" s="713"/>
      <c r="U17" s="124"/>
      <c r="V17" s="6" t="s">
        <v>1186</v>
      </c>
      <c r="W17" s="145">
        <f>bMHhit</f>
        <v>0.51844928335769502</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9">
        <v>12</v>
      </c>
      <c r="L18" s="769">
        <v>12</v>
      </c>
      <c r="M18" s="786">
        <v>12</v>
      </c>
      <c r="N18" s="787"/>
      <c r="O18" s="114" t="s">
        <v>1974</v>
      </c>
      <c r="P18" s="124"/>
      <c r="Q18" s="794"/>
      <c r="R18" s="116">
        <f>IF(OR(IF(includep1,$B18&lt;=1), IF(includep2,$B18&lt;=2), IF(includep3,$B18&lt;=3), IF(includep4,$B18&lt;=4), IF(includep5,$B18&lt;=5)),MAX($R$16:R17)+1,"")</f>
        <v>1</v>
      </c>
      <c r="S18" s="751">
        <v>1</v>
      </c>
      <c r="T18" s="714"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9"/>
      <c r="L19" s="769"/>
      <c r="M19" s="786"/>
      <c r="N19" s="787"/>
      <c r="O19" s="114" t="s">
        <v>1974</v>
      </c>
      <c r="P19" s="124"/>
      <c r="Q19" s="794">
        <f>IF(Talents!$O$18="Yes",'Damage Calc'!K48*($AA$2+mpsn)*$AD$2*$AF$2*(Talents!$C$23*0.04+1)*(1+(0.01*miseryimp)*misery)*(1+(thunderfury*thunderfurydps)),0)</f>
        <v>38.502009507025427</v>
      </c>
      <c r="R19" s="116">
        <f>IF(OR(IF(includep1,$B19&lt;=1), IF(includep2,$B19&lt;=2), IF(includep3,$B19&lt;=3), IF(includep4,$B19&lt;=4), IF(includep5,$B19&lt;=5)),MAX($R$16:R18)+1,"")</f>
        <v>2</v>
      </c>
      <c r="S19" s="751">
        <v>2</v>
      </c>
      <c r="T19" s="714"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9"/>
      <c r="L20" s="769"/>
      <c r="M20" s="786"/>
      <c r="N20" s="787"/>
      <c r="O20" s="114" t="s">
        <v>1974</v>
      </c>
      <c r="P20" s="124"/>
      <c r="Q20" s="794"/>
      <c r="R20" s="116">
        <f>IF(OR(IF(includep1,$B20&lt;=1), IF(includep2,$B20&lt;=2), IF(includep3,$B20&lt;=3), IF(includep4,$B20&lt;=4), IF(includep5,$B20&lt;=5)),MAX($R$16:R19)+1,"")</f>
        <v>3</v>
      </c>
      <c r="S20" s="751">
        <v>3</v>
      </c>
      <c r="T20" s="714" t="str">
        <f t="shared" si="1"/>
        <v>Consecrated Sharpening Stone</v>
      </c>
      <c r="U20" s="124"/>
      <c r="V20" s="48" t="s">
        <v>1265</v>
      </c>
      <c r="W20" s="1347">
        <f>bfWFea</f>
        <v>0.15313810351325544</v>
      </c>
      <c r="X20" s="1347">
        <f>SUM('Damage Calc'!F5:F7)*bfWFea</f>
        <v>0.17454294295415593</v>
      </c>
      <c r="Y20" s="1347">
        <f>instsec*bfWFea</f>
        <v>4.7299592110256798E-2</v>
      </c>
      <c r="Z20" s="48" t="s">
        <v>95</v>
      </c>
      <c r="AA20" s="48"/>
      <c r="AB20" s="148" t="s">
        <v>1652</v>
      </c>
      <c r="AC20" s="6">
        <f>12/AC16</f>
        <v>3.5970804239741878</v>
      </c>
      <c r="AD20" s="48">
        <v>1</v>
      </c>
      <c r="AE20" s="6">
        <v>0</v>
      </c>
      <c r="AF20" s="6">
        <v>0</v>
      </c>
      <c r="AG20" s="6">
        <v>0</v>
      </c>
    </row>
    <row r="21" spans="1:39" ht="11.25" customHeight="1">
      <c r="A21" s="10" t="s">
        <v>2206</v>
      </c>
      <c r="B21" s="114">
        <v>1</v>
      </c>
      <c r="C21" s="114"/>
      <c r="D21" s="114"/>
      <c r="E21" s="114"/>
      <c r="F21" s="115"/>
      <c r="G21" s="115"/>
      <c r="H21" s="114"/>
      <c r="I21" s="114"/>
      <c r="J21" s="116"/>
      <c r="K21" s="769"/>
      <c r="L21" s="769"/>
      <c r="M21" s="786"/>
      <c r="N21" s="787"/>
      <c r="O21" s="114" t="s">
        <v>1974</v>
      </c>
      <c r="P21" s="124"/>
      <c r="Q21" s="794">
        <f>IF(Talents!$O$18="Yes",($AD$28*$AC$2/12*(Talents!$C$23*0.04+1)*(1+(0.01*miseryimp)*misery)*(1+(thunderfury*thunderfurydps)))-lostdp,0)</f>
        <v>77.558933726510688</v>
      </c>
      <c r="R21" s="116">
        <f>IF(OR(IF(includep1,$B21&lt;=1), IF(includep2,$B21&lt;=2), IF(includep3,$B21&lt;=3), IF(includep4,$B21&lt;=4), IF(includep5,$B21&lt;=5)),MAX($R$16:R20)+1,"")</f>
        <v>4</v>
      </c>
      <c r="S21" s="751">
        <v>4</v>
      </c>
      <c r="T21" s="714" t="str">
        <f t="shared" si="1"/>
        <v>Deadly Poison VII</v>
      </c>
      <c r="U21" s="124"/>
      <c r="V21" s="145" t="s">
        <v>3111</v>
      </c>
      <c r="W21" s="1347">
        <f>445*(1+15%*bfWFtl)/14*bMHspd*(W17+W18*W19+W16*bMHcfact)</f>
        <v>123.97430039356702</v>
      </c>
      <c r="X21" s="1347">
        <f>445*(1+15%*bfWFtl)/14*bOHspd*(W17+W18*W19+W16*bOHcfact)*bOHdamfac</f>
        <v>50.066544389709762</v>
      </c>
      <c r="Y21" s="1347">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1274</v>
      </c>
      <c r="AC21" s="6">
        <f>12/(1+AC16/(1-EXP(-AC16)))</f>
        <v>2.6911226696331791</v>
      </c>
      <c r="AD21" s="48">
        <f>1-EXP(-AC13*AC15)</f>
        <v>0.96442239238532301</v>
      </c>
      <c r="AE21" s="6">
        <v>12</v>
      </c>
      <c r="AF21" s="6">
        <f>AD20-AD21</f>
        <v>3.5577607614676987E-2</v>
      </c>
      <c r="AG21" s="6">
        <v>1</v>
      </c>
    </row>
    <row r="22" spans="1:39" ht="11.25" customHeight="1">
      <c r="A22" s="10" t="s">
        <v>2841</v>
      </c>
      <c r="B22" s="114">
        <v>1</v>
      </c>
      <c r="C22" s="114"/>
      <c r="D22" s="114"/>
      <c r="E22" s="114"/>
      <c r="F22" s="115"/>
      <c r="G22" s="115"/>
      <c r="H22" s="114"/>
      <c r="I22" s="114"/>
      <c r="J22" s="116"/>
      <c r="K22" s="769">
        <v>8</v>
      </c>
      <c r="L22" s="769">
        <v>8</v>
      </c>
      <c r="M22" s="786">
        <v>8</v>
      </c>
      <c r="N22" s="787"/>
      <c r="O22" s="114" t="s">
        <v>1974</v>
      </c>
      <c r="P22" s="124"/>
      <c r="Q22" s="794"/>
      <c r="R22" s="116">
        <f>IF(OR(IF(includep1,$B22&lt;=1), IF(includep2,$B22&lt;=2), IF(includep3,$B22&lt;=3), IF(includep4,$B22&lt;=4), IF(includep5,$B22&lt;=5)),MAX($R$16:R21)+1,"")</f>
        <v>5</v>
      </c>
      <c r="S22" s="751">
        <v>5</v>
      </c>
      <c r="T22" s="714" t="str">
        <f t="shared" si="1"/>
        <v>Dense Sharpening Stone</v>
      </c>
      <c r="U22" s="124"/>
      <c r="V22" s="145" t="s">
        <v>2253</v>
      </c>
      <c r="W22" s="1347">
        <f>W21*W20*armor*bGlobDam+X21*X20*armor*bGlobDam+Y21*Y20*armor*bGlobDam</f>
        <v>27.290231355562383</v>
      </c>
      <c r="X22" s="48" t="s">
        <v>3109</v>
      </c>
      <c r="Y22" s="48"/>
      <c r="Z22" s="48"/>
      <c r="AA22" s="48"/>
      <c r="AB22" s="131" t="s">
        <v>1277</v>
      </c>
      <c r="AC22" s="6">
        <f>12/(1+AC16/(1-EXP(-AC16)))</f>
        <v>2.6911226696331791</v>
      </c>
      <c r="AD22" s="48">
        <f>(1-EXP(-AC13*AC15))^2</f>
        <v>0.9301105509342299</v>
      </c>
      <c r="AE22" s="6">
        <v>12</v>
      </c>
      <c r="AF22" s="6">
        <f>AD21-AD22</f>
        <v>3.4311841451093117E-2</v>
      </c>
      <c r="AG22" s="6">
        <v>2</v>
      </c>
    </row>
    <row r="23" spans="1:39" ht="11.25" customHeight="1">
      <c r="A23" s="10" t="s">
        <v>1281</v>
      </c>
      <c r="B23" s="114">
        <v>1</v>
      </c>
      <c r="C23" s="114"/>
      <c r="D23" s="114"/>
      <c r="E23" s="114"/>
      <c r="F23" s="115">
        <v>28</v>
      </c>
      <c r="G23" s="115"/>
      <c r="H23" s="114"/>
      <c r="I23" s="114"/>
      <c r="J23" s="116"/>
      <c r="K23" s="769"/>
      <c r="L23" s="769"/>
      <c r="M23" s="786"/>
      <c r="N23" s="787"/>
      <c r="O23" s="114" t="s">
        <v>1974</v>
      </c>
      <c r="P23" s="124"/>
      <c r="Q23" s="794"/>
      <c r="R23" s="116">
        <f>IF(OR(IF(includep1,$B23&lt;=1), IF(includep2,$B23&lt;=2), IF(includep3,$B23&lt;=3), IF(includep4,$B23&lt;=4), IF(includep5,$B23&lt;=5)),MAX($R$16:R22)+1,"")</f>
        <v>6</v>
      </c>
      <c r="S23" s="751">
        <v>6</v>
      </c>
      <c r="T23" s="714" t="str">
        <f t="shared" si="1"/>
        <v>Elemental Sharpening Stone</v>
      </c>
      <c r="U23" s="124"/>
      <c r="V23" s="6"/>
      <c r="W23" s="6"/>
      <c r="X23" s="6"/>
      <c r="Y23" s="48"/>
      <c r="Z23" s="48"/>
      <c r="AA23" s="48"/>
      <c r="AB23" s="131" t="s">
        <v>1280</v>
      </c>
      <c r="AC23" s="6">
        <f>12/(1+AC16/(1-EXP(-AC16)))</f>
        <v>2.6911226696331791</v>
      </c>
      <c r="AD23" s="48">
        <f>(1-EXP(-AC13*AC15))^3</f>
        <v>0.89701944271482081</v>
      </c>
      <c r="AE23" s="6">
        <v>12</v>
      </c>
      <c r="AF23" s="6">
        <f>AD22-AD23</f>
        <v>3.3091108219409082E-2</v>
      </c>
      <c r="AG23" s="6">
        <v>3</v>
      </c>
    </row>
    <row r="24" spans="1:39" ht="11.25" customHeight="1">
      <c r="A24" s="10" t="s">
        <v>1275</v>
      </c>
      <c r="B24" s="114">
        <v>1</v>
      </c>
      <c r="C24" s="114"/>
      <c r="D24" s="114"/>
      <c r="E24" s="114"/>
      <c r="F24" s="115"/>
      <c r="G24" s="115"/>
      <c r="H24" s="114"/>
      <c r="I24" s="114"/>
      <c r="J24" s="116"/>
      <c r="K24" s="769">
        <v>12</v>
      </c>
      <c r="L24" s="769">
        <v>12</v>
      </c>
      <c r="M24" s="786">
        <v>12</v>
      </c>
      <c r="N24" s="787"/>
      <c r="O24" s="114" t="s">
        <v>1974</v>
      </c>
      <c r="P24" s="124"/>
      <c r="Q24" s="794"/>
      <c r="R24" s="116">
        <f>IF(OR(IF(includep1,$B24&lt;=1), IF(includep2,$B24&lt;=2), IF(includep3,$B24&lt;=3), IF(includep4,$B24&lt;=4), IF(includep5,$B24&lt;=5)),MAX($R$16:R23)+1,"")</f>
        <v>7</v>
      </c>
      <c r="S24" s="751">
        <v>7</v>
      </c>
      <c r="T24" s="714" t="str">
        <f t="shared" si="1"/>
        <v>Fel Sharpening Stone</v>
      </c>
      <c r="U24" s="124"/>
      <c r="V24" s="6"/>
      <c r="W24" s="6"/>
      <c r="X24" s="6"/>
      <c r="Y24" s="48"/>
      <c r="Z24" s="6"/>
      <c r="AA24" s="6"/>
      <c r="AB24" s="131" t="s">
        <v>1282</v>
      </c>
      <c r="AC24" s="6">
        <f>12/(1+AC16/(1-EXP(-AC16)))</f>
        <v>2.6911226696331791</v>
      </c>
      <c r="AD24" s="48">
        <f>(1-EXP(-AC13*AC15))^4</f>
        <v>0.86510563695917664</v>
      </c>
      <c r="AE24" s="6">
        <v>12</v>
      </c>
      <c r="AF24" s="6">
        <f>AD23-AD24</f>
        <v>3.1913805755644176E-2</v>
      </c>
      <c r="AG24" s="6">
        <v>4</v>
      </c>
    </row>
    <row r="25" spans="1:39" ht="11.25" customHeight="1">
      <c r="A25" s="10" t="s">
        <v>1278</v>
      </c>
      <c r="B25" s="114">
        <v>1</v>
      </c>
      <c r="C25" s="114"/>
      <c r="D25" s="114"/>
      <c r="E25" s="114"/>
      <c r="F25" s="115"/>
      <c r="G25" s="115"/>
      <c r="H25" s="114"/>
      <c r="I25" s="114"/>
      <c r="J25" s="116"/>
      <c r="K25" s="769"/>
      <c r="L25" s="769"/>
      <c r="M25" s="786"/>
      <c r="N25" s="787"/>
      <c r="O25" s="114" t="s">
        <v>1974</v>
      </c>
      <c r="P25" s="124"/>
      <c r="Q25" s="794">
        <f>IF(Talents!O36="No",W25*AA2*'Damage Calc'!K48*MHspd*(1+(0.01*miseryimp)*misery),0)</f>
        <v>61.0282015398449</v>
      </c>
      <c r="R25" s="116">
        <f>IF(OR(IF(includep1,$B25&lt;=1), IF(includep2,$B25&lt;=2), IF(includep3,$B25&lt;=3), IF(includep4,$B25&lt;=4), IF(includep5,$B25&lt;=5)),MAX($R$16:R24)+1,"")</f>
        <v>8</v>
      </c>
      <c r="S25" s="751">
        <v>8</v>
      </c>
      <c r="T25" s="714" t="str">
        <f t="shared" si="1"/>
        <v>Flametongue</v>
      </c>
      <c r="U25" s="124"/>
      <c r="V25" s="6" t="s">
        <v>3110</v>
      </c>
      <c r="W25" s="1348">
        <f>14.924*(1+'Gear &amp; Buffs'!C111*0.06)*IF(CoE,1.25,1)</f>
        <v>20.893599999999999</v>
      </c>
      <c r="X25" s="6"/>
      <c r="Y25" s="6"/>
      <c r="Z25" s="6"/>
      <c r="AA25" s="6"/>
      <c r="AB25" s="131" t="s">
        <v>1284</v>
      </c>
      <c r="AC25" s="6">
        <f>IF(time=0, AC24/EXP(-AC13*AC15), MIN(AC24/EXP(-AC13*AC15), time-SUMPRODUCT(AC21:AC24,AD21:AD24)))</f>
        <v>75.640911518822918</v>
      </c>
      <c r="AD25" s="48">
        <f>(1-EXP(-AC13*AC15))^5</f>
        <v>0.83432724806219782</v>
      </c>
      <c r="AE25" s="6">
        <v>0</v>
      </c>
      <c r="AF25" s="6">
        <v>0</v>
      </c>
      <c r="AG25" s="6">
        <v>5</v>
      </c>
    </row>
    <row r="26" spans="1:39" ht="11.25" customHeight="1">
      <c r="A26" s="10" t="s">
        <v>1283</v>
      </c>
      <c r="B26" s="114">
        <v>1</v>
      </c>
      <c r="C26" s="114"/>
      <c r="D26" s="114"/>
      <c r="E26" s="114"/>
      <c r="F26" s="115"/>
      <c r="G26" s="115"/>
      <c r="H26" s="114"/>
      <c r="I26" s="114"/>
      <c r="J26" s="116"/>
      <c r="K26" s="769"/>
      <c r="L26" s="769"/>
      <c r="M26" s="786"/>
      <c r="N26" s="787"/>
      <c r="O26" s="114" t="s">
        <v>1974</v>
      </c>
      <c r="P26" s="124"/>
      <c r="Q26" s="794">
        <f>IF(Talents!$O$18="Yes",'Damage Calc'!K48*($AA$2+mpsn)*$AD$2*$AE$2*(Talents!$C$23*0.04+1)*(1+(0.01*miseryimp)*misery)*(1+(thunderfury*thunderfurydps)),0)</f>
        <v>42.780010563361593</v>
      </c>
      <c r="R26" s="116">
        <f>IF(OR(IF(includep1,$B26&lt;=1), IF(includep2,$B26&lt;=2), IF(includep3,$B26&lt;=3), IF(includep4,$B26&lt;=4), IF(includep5,$B26&lt;=5)),MAX($R$16:R25)+1,"")</f>
        <v>9</v>
      </c>
      <c r="S26" s="751">
        <v>9</v>
      </c>
      <c r="T26" s="714" t="str">
        <f t="shared" si="1"/>
        <v>Instant Poison VII</v>
      </c>
      <c r="U26" s="124"/>
      <c r="V26" s="6"/>
      <c r="W26" s="6"/>
      <c r="X26" s="6"/>
      <c r="Y26" s="6"/>
      <c r="Z26" s="327"/>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9"/>
      <c r="L27" s="769"/>
      <c r="M27" s="786"/>
      <c r="N27" s="787"/>
      <c r="O27" s="114" t="s">
        <v>1974</v>
      </c>
      <c r="P27" s="124"/>
      <c r="Q27" s="794"/>
      <c r="R27" s="116" t="str">
        <f>IF(OR(IF(includep1,$B27&lt;=1), IF(includep2,$B27&lt;=2), IF(includep3,$B27&lt;=3), IF(includep4,$B27&lt;=4), IF(includep5,$B27&lt;=5)),MAX($R$16:R26)+1,"")</f>
        <v/>
      </c>
      <c r="S27" s="751">
        <v>10</v>
      </c>
      <c r="T27" s="714"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9"/>
      <c r="L28" s="769"/>
      <c r="M28" s="786"/>
      <c r="N28" s="787"/>
      <c r="O28" s="114" t="s">
        <v>1974</v>
      </c>
      <c r="P28" s="124"/>
      <c r="Q28" s="794"/>
      <c r="R28" s="116">
        <f>IF(OR(IF(includep1,$B28&lt;=1), IF(includep2,$B28&lt;=2), IF(includep3,$B28&lt;=3), IF(includep4,$B28&lt;=4), IF(includep5,$B28&lt;=5)),MAX($R$16:R27)+1,"")</f>
        <v>10</v>
      </c>
      <c r="S28" s="751">
        <v>11</v>
      </c>
      <c r="T28" s="714"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9"/>
      <c r="L29" s="769"/>
      <c r="M29" s="786"/>
      <c r="N29" s="787"/>
      <c r="O29" s="114" t="s">
        <v>1974</v>
      </c>
      <c r="P29" s="124"/>
      <c r="Q29" s="794">
        <f>IF(Talents!$O$18="Yes",'Damage Calc'!K48*($AA$2+mpsn)*$AG$2*$AH$2*(Talents!$C$23*0.04+1)*(1+(0.01*miseryimp)*misery)*(1+(thunderfury*thunderfurydps)),0)</f>
        <v>24.535594293692672</v>
      </c>
      <c r="R29" s="116">
        <f>IF(OR(IF(includep1,$B29&lt;=1), IF(includep2,$B29&lt;=2), IF(includep3,$B29&lt;=3), IF(includep4,$B29&lt;=4), IF(includep5,$B29&lt;=5)),MAX($R$16:R28)+1,"")</f>
        <v>11</v>
      </c>
      <c r="S29" s="751">
        <v>12</v>
      </c>
      <c r="T29" s="714"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1"/>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1"/>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1"/>
      <c r="L32" s="114"/>
      <c r="M32" s="116"/>
      <c r="N32" s="114"/>
      <c r="O32" s="114"/>
      <c r="P32" s="114"/>
      <c r="Q32" s="114"/>
      <c r="R32" s="116"/>
      <c r="S32" s="116"/>
      <c r="T32" s="10"/>
      <c r="U32" s="124"/>
      <c r="X32" s="48"/>
      <c r="AH32" s="6"/>
      <c r="AI32" s="6"/>
      <c r="AJ32" s="6"/>
      <c r="AK32" s="6"/>
      <c r="AL32" s="6"/>
      <c r="AM32" s="6"/>
    </row>
    <row r="33" spans="1:39" ht="11.25" customHeight="1" thickBot="1">
      <c r="A33" s="800" t="s">
        <v>1289</v>
      </c>
      <c r="B33" s="801" t="s">
        <v>2798</v>
      </c>
      <c r="C33" s="801" t="s">
        <v>1214</v>
      </c>
      <c r="D33" s="801" t="s">
        <v>1215</v>
      </c>
      <c r="E33" s="801" t="s">
        <v>1216</v>
      </c>
      <c r="F33" s="801" t="s">
        <v>2140</v>
      </c>
      <c r="G33" s="801" t="s">
        <v>2139</v>
      </c>
      <c r="H33" s="801" t="s">
        <v>768</v>
      </c>
      <c r="I33" s="801" t="s">
        <v>1219</v>
      </c>
      <c r="J33" s="801" t="s">
        <v>771</v>
      </c>
      <c r="K33" s="801" t="s">
        <v>1222</v>
      </c>
      <c r="L33" s="801" t="s">
        <v>1223</v>
      </c>
      <c r="M33" s="801" t="s">
        <v>1705</v>
      </c>
      <c r="N33" s="801" t="s">
        <v>146</v>
      </c>
      <c r="O33" s="801" t="s">
        <v>1225</v>
      </c>
      <c r="P33" s="801" t="s">
        <v>1226</v>
      </c>
      <c r="Q33" s="801" t="s">
        <v>147</v>
      </c>
      <c r="R33" s="801">
        <v>0</v>
      </c>
      <c r="S33" s="802"/>
      <c r="T33" s="803"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9"/>
      <c r="L34" s="769"/>
      <c r="M34" s="786"/>
      <c r="N34" s="787"/>
      <c r="O34" s="114" t="s">
        <v>1974</v>
      </c>
      <c r="P34" s="124"/>
      <c r="Q34" s="793"/>
      <c r="R34" s="792"/>
      <c r="S34" s="751"/>
      <c r="T34" s="714"/>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9"/>
      <c r="L35" s="769"/>
      <c r="M35" s="786"/>
      <c r="N35" s="787">
        <v>2564</v>
      </c>
      <c r="O35" s="114" t="s">
        <v>1974</v>
      </c>
      <c r="P35" s="124"/>
      <c r="Q35" s="794"/>
      <c r="R35" s="116">
        <f>IF(OR(IF(includep1,$B35&lt;=1), IF(includep2,$B35&lt;=2), IF(includep3,$B35&lt;=3), IF(includep4,$B35&lt;=4), IF(includep5,$B35&lt;=5)),MAX($R$33:R34)+1,"")</f>
        <v>1</v>
      </c>
      <c r="S35" s="751">
        <v>1</v>
      </c>
      <c r="T35" s="714"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18.581213318271931</v>
      </c>
      <c r="D36" s="114"/>
      <c r="E36" s="114"/>
      <c r="F36" s="115"/>
      <c r="G36" s="115"/>
      <c r="H36" s="114"/>
      <c r="I36" s="114"/>
      <c r="J36" s="116"/>
      <c r="K36" s="769"/>
      <c r="L36" s="769"/>
      <c r="M36" s="786"/>
      <c r="N36" s="787">
        <v>1900</v>
      </c>
      <c r="O36" s="114" t="s">
        <v>1974</v>
      </c>
      <c r="P36" s="124"/>
      <c r="Q36" s="794"/>
      <c r="R36" s="116">
        <f>IF(OR(IF(includep1,$B36&lt;=1), IF(includep2,$B36&lt;=2), IF(includep3,$B36&lt;=3), IF(includep4,$B36&lt;=4), IF(includep5,$B36&lt;=5)),MAX($R$33:R35)+1,"")</f>
        <v>2</v>
      </c>
      <c r="S36" s="751">
        <v>2</v>
      </c>
      <c r="T36" s="714"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9"/>
      <c r="L37" s="769"/>
      <c r="M37" s="786"/>
      <c r="N37" s="787">
        <v>912</v>
      </c>
      <c r="O37" s="114" t="s">
        <v>1974</v>
      </c>
      <c r="P37" s="124"/>
      <c r="Q37" s="794">
        <f>'Damage Calc'!I49*'Damage Calc'!L49*6*$AA$2*100</f>
        <v>12.973484372392097</v>
      </c>
      <c r="R37" s="116">
        <f>IF(OR(IF(includep1,$B37&lt;=1), IF(includep2,$B37&lt;=2), IF(includep3,$B37&lt;=3), IF(includep4,$B37&lt;=4), IF(includep5,$B37&lt;=5)),MAX($R$33:R36)+1,"")</f>
        <v>3</v>
      </c>
      <c r="S37" s="751">
        <v>3</v>
      </c>
      <c r="T37" s="714"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260.13698645580706</v>
      </c>
      <c r="J38" s="116"/>
      <c r="K38" s="769"/>
      <c r="L38" s="769"/>
      <c r="M38" s="786"/>
      <c r="N38" s="787">
        <v>3225</v>
      </c>
      <c r="O38" s="114" t="s">
        <v>1974</v>
      </c>
      <c r="P38" s="124"/>
      <c r="Q38" s="794"/>
      <c r="R38" s="116" t="str">
        <f>IF(OR(IF(includep1,$B38&lt;=1), IF(includep2,$B38&lt;=2), IF(includep3,$B38&lt;=3), IF(includep4,$B38&lt;=4), IF(includep5,$B38&lt;=5)),MAX($R$33:R37)+1,"")</f>
        <v/>
      </c>
      <c r="S38" s="751">
        <v>4</v>
      </c>
      <c r="T38" s="714"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9"/>
      <c r="L39" s="769"/>
      <c r="M39" s="786"/>
      <c r="N39" s="787">
        <v>803</v>
      </c>
      <c r="O39" s="114" t="s">
        <v>1974</v>
      </c>
      <c r="P39" s="124"/>
      <c r="Q39" s="794">
        <f>'Damage Calc'!I49*'Damage Calc'!L49*6*$AA$2*40*(1+(0.01*miseryimp)*misery)*IF(CoE,1.25,1)</f>
        <v>6.8110792955058503</v>
      </c>
      <c r="R39" s="116">
        <f>IF(OR(IF(includep1,$B39&lt;=1), IF(includep2,$B39&lt;=2), IF(includep3,$B39&lt;=3), IF(includep4,$B39&lt;=4), IF(includep5,$B39&lt;=5)),MAX($R$33:R38)+1,"")</f>
        <v>4</v>
      </c>
      <c r="S39" s="751">
        <v>5</v>
      </c>
      <c r="T39" s="714"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9"/>
      <c r="L40" s="769"/>
      <c r="M40" s="786"/>
      <c r="N40" s="787">
        <v>3222</v>
      </c>
      <c r="O40" s="114" t="s">
        <v>1974</v>
      </c>
      <c r="P40" s="124"/>
      <c r="Q40" s="794"/>
      <c r="R40" s="116">
        <f>IF(OR(IF(includep1,$B40&lt;=1), IF(includep2,$B40&lt;=2), IF(includep3,$B40&lt;=3), IF(includep4,$B40&lt;=4), IF(includep5,$B40&lt;=5)),MAX($R$33:R39)+1,"")</f>
        <v>5</v>
      </c>
      <c r="S40" s="751">
        <v>6</v>
      </c>
      <c r="T40" s="714"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9"/>
      <c r="L41" s="769"/>
      <c r="M41" s="786"/>
      <c r="N41" s="787">
        <v>1898</v>
      </c>
      <c r="O41" s="114" t="s">
        <v>1974</v>
      </c>
      <c r="P41" s="124"/>
      <c r="Q41" s="794">
        <f>'Damage Calc'!I49*'Damage Calc'!L49*6*$AA$2*19*IF(SW,1.1,1)*(1+(0.01*miseryimp)*misery)</f>
        <v>2.8470311455214459</v>
      </c>
      <c r="R41" s="116">
        <f>IF(OR(IF(includep1,$B41&lt;=1), IF(includep2,$B41&lt;=2), IF(includep3,$B41&lt;=3), IF(includep4,$B41&lt;=4), IF(includep5,$B41&lt;=5)),MAX($R$33:R40)+1,"")</f>
        <v>6</v>
      </c>
      <c r="S41" s="751">
        <v>7</v>
      </c>
      <c r="T41" s="714"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9">
        <v>7</v>
      </c>
      <c r="L42" s="769">
        <v>7</v>
      </c>
      <c r="M42" s="786">
        <v>7</v>
      </c>
      <c r="N42" s="787">
        <v>963</v>
      </c>
      <c r="O42" s="114" t="s">
        <v>1974</v>
      </c>
      <c r="P42" s="124"/>
      <c r="Q42" s="794"/>
      <c r="R42" s="116" t="str">
        <f>IF(OR(IF(includep1,$B42&lt;=1), IF(includep2,$B42&lt;=2), IF(includep3,$B42&lt;=3), IF(includep4,$B42&lt;=4), IF(includep5,$B42&lt;=5)),MAX($R$33:R41)+1,"")</f>
        <v/>
      </c>
      <c r="S42" s="751">
        <v>8</v>
      </c>
      <c r="T42" s="714" t="str">
        <f t="shared" si="2"/>
        <v>Superior Striking</v>
      </c>
      <c r="U42" s="47"/>
    </row>
    <row r="43" spans="1:39" ht="11.25" customHeight="1">
      <c r="A43" s="10" t="s">
        <v>1229</v>
      </c>
      <c r="B43" s="114">
        <v>1</v>
      </c>
      <c r="C43" s="21"/>
      <c r="D43" s="790">
        <f>120*enMnOHup</f>
        <v>37.162426636543863</v>
      </c>
      <c r="E43" s="21"/>
      <c r="F43" s="21"/>
      <c r="G43" s="21"/>
      <c r="H43" s="21"/>
      <c r="I43" s="21"/>
      <c r="J43" s="790">
        <f>2*hasterate*enMnOHup</f>
        <v>9.7670480262711425</v>
      </c>
      <c r="K43" s="769"/>
      <c r="L43" s="769"/>
      <c r="M43" s="769"/>
      <c r="N43" s="787">
        <v>2673</v>
      </c>
      <c r="O43" s="114" t="s">
        <v>1974</v>
      </c>
      <c r="P43" s="124"/>
      <c r="Q43" s="794"/>
      <c r="R43" s="116">
        <f>IF(OR(IF(includep1,$B43&lt;=1), IF(includep2,$B43&lt;=2), IF(includep3,$B43&lt;=3), IF(includep4,$B43&lt;=4), IF(includep5,$B43&lt;=5)),MAX($R$33:R42)+1,"")</f>
        <v>7</v>
      </c>
      <c r="S43" s="751">
        <v>9</v>
      </c>
      <c r="T43" s="714" t="str">
        <f t="shared" si="2"/>
        <v/>
      </c>
      <c r="U43" s="133"/>
      <c r="Y43" s="48"/>
      <c r="Z43" s="48"/>
      <c r="AA43" s="48"/>
      <c r="AB43" s="131"/>
      <c r="AC43" s="48"/>
    </row>
    <row r="44" spans="1:39" ht="11.25" customHeight="1">
      <c r="A44" s="10" t="s">
        <v>2842</v>
      </c>
      <c r="B44" s="114">
        <v>1</v>
      </c>
      <c r="C44" s="21"/>
      <c r="D44" s="790"/>
      <c r="E44" s="21"/>
      <c r="F44" s="21"/>
      <c r="G44" s="21"/>
      <c r="H44" s="21"/>
      <c r="I44" s="21"/>
      <c r="J44" s="790"/>
      <c r="K44" s="769">
        <v>5</v>
      </c>
      <c r="L44" s="769">
        <v>5</v>
      </c>
      <c r="M44" s="769">
        <v>5</v>
      </c>
      <c r="N44" s="787">
        <v>1897</v>
      </c>
      <c r="O44" s="114" t="s">
        <v>1974</v>
      </c>
      <c r="P44" s="769"/>
      <c r="Q44" s="794"/>
      <c r="R44" s="116">
        <f>IF(OR(IF(includep1,$B44&lt;=1), IF(includep2,$B44&lt;=2), IF(includep3,$B44&lt;=3), IF(includep4,$B44&lt;=4), IF(includep5,$B44&lt;=5)),MAX($R$33:R43)+1,"")</f>
        <v>8</v>
      </c>
      <c r="S44" s="751">
        <v>10</v>
      </c>
      <c r="T44" s="714" t="str">
        <f t="shared" si="2"/>
        <v/>
      </c>
      <c r="U44" s="124"/>
    </row>
    <row r="45" spans="1:39" ht="11.25" customHeight="1">
      <c r="A45" s="47"/>
      <c r="B45" s="114"/>
      <c r="C45" s="114"/>
      <c r="D45" s="114"/>
      <c r="E45" s="114"/>
      <c r="F45" s="115"/>
      <c r="G45" s="115"/>
      <c r="H45" s="114"/>
      <c r="I45" s="114"/>
      <c r="J45" s="116"/>
      <c r="K45" s="791"/>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1"/>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1"/>
      <c r="L47" s="114"/>
      <c r="M47" s="116"/>
      <c r="N47" s="114"/>
      <c r="O47" s="114"/>
      <c r="P47" s="114"/>
      <c r="Q47" s="114"/>
      <c r="R47" s="116"/>
      <c r="S47" s="116"/>
      <c r="T47" s="10"/>
      <c r="U47" s="124"/>
      <c r="Y47" s="48"/>
      <c r="Z47" s="48"/>
      <c r="AA47" s="48"/>
      <c r="AB47" s="48"/>
      <c r="AC47" s="48"/>
      <c r="AD47" s="48"/>
    </row>
    <row r="48" spans="1:39" ht="11.25" customHeight="1" thickBot="1">
      <c r="A48" s="800" t="s">
        <v>563</v>
      </c>
      <c r="B48" s="801" t="s">
        <v>2798</v>
      </c>
      <c r="C48" s="801" t="s">
        <v>1214</v>
      </c>
      <c r="D48" s="801" t="s">
        <v>1215</v>
      </c>
      <c r="E48" s="801" t="s">
        <v>1216</v>
      </c>
      <c r="F48" s="801" t="s">
        <v>2140</v>
      </c>
      <c r="G48" s="801" t="s">
        <v>2139</v>
      </c>
      <c r="H48" s="801" t="s">
        <v>768</v>
      </c>
      <c r="I48" s="801" t="s">
        <v>1219</v>
      </c>
      <c r="J48" s="801" t="s">
        <v>1017</v>
      </c>
      <c r="K48" s="801" t="s">
        <v>1222</v>
      </c>
      <c r="L48" s="801" t="s">
        <v>1223</v>
      </c>
      <c r="M48" s="801" t="s">
        <v>1705</v>
      </c>
      <c r="N48" s="801" t="s">
        <v>146</v>
      </c>
      <c r="O48" s="801" t="s">
        <v>1225</v>
      </c>
      <c r="P48" s="801" t="s">
        <v>1226</v>
      </c>
      <c r="Q48" s="801" t="s">
        <v>147</v>
      </c>
      <c r="R48" s="801">
        <v>0</v>
      </c>
      <c r="S48" s="802"/>
      <c r="T48" s="803" t="s">
        <v>1689</v>
      </c>
      <c r="U48" s="124"/>
      <c r="Y48" s="48"/>
      <c r="Z48" s="48"/>
      <c r="AA48" s="48"/>
      <c r="AB48" s="48"/>
      <c r="AC48" s="48"/>
      <c r="AD48" s="48"/>
    </row>
    <row r="49" spans="1:30" ht="11.25" customHeight="1">
      <c r="A49" s="10" t="s">
        <v>2207</v>
      </c>
      <c r="B49" s="114"/>
      <c r="C49" s="114"/>
      <c r="D49" s="114"/>
      <c r="E49" s="114"/>
      <c r="F49" s="115"/>
      <c r="G49" s="115"/>
      <c r="H49" s="114"/>
      <c r="I49" s="114"/>
      <c r="J49" s="116"/>
      <c r="K49" s="769"/>
      <c r="L49" s="769"/>
      <c r="M49" s="786"/>
      <c r="N49" s="787"/>
      <c r="O49" s="114" t="s">
        <v>1974</v>
      </c>
      <c r="P49" s="124"/>
      <c r="Q49" s="793"/>
      <c r="R49" s="792"/>
      <c r="S49" s="751"/>
      <c r="T49" s="714"/>
      <c r="U49" s="124"/>
      <c r="Y49" s="48"/>
      <c r="Z49" s="48"/>
      <c r="AA49" s="48"/>
      <c r="AB49" s="48"/>
      <c r="AC49" s="48"/>
      <c r="AD49" s="48"/>
    </row>
    <row r="50" spans="1:30" ht="11.25" customHeight="1">
      <c r="A50" s="10" t="s">
        <v>1286</v>
      </c>
      <c r="B50" s="114">
        <v>1</v>
      </c>
      <c r="C50" s="114"/>
      <c r="D50" s="114"/>
      <c r="E50" s="114"/>
      <c r="F50" s="115">
        <v>14</v>
      </c>
      <c r="G50" s="115"/>
      <c r="H50" s="114"/>
      <c r="I50" s="114"/>
      <c r="J50" s="116"/>
      <c r="K50" s="769">
        <v>12</v>
      </c>
      <c r="L50" s="769">
        <v>12</v>
      </c>
      <c r="M50" s="786">
        <v>12</v>
      </c>
      <c r="N50" s="787"/>
      <c r="O50" s="114" t="s">
        <v>1974</v>
      </c>
      <c r="P50" s="124"/>
      <c r="Q50" s="794"/>
      <c r="R50" s="116">
        <f>IF(OR(IF(includep1,$B50&lt;=1), IF(includep2,$B50&lt;=2), IF(includep3,$B50&lt;=3), IF(includep4,$B50&lt;=4), IF(includep5,$B50&lt;=5)),MAX($R$48:R49)+1,"")</f>
        <v>1</v>
      </c>
      <c r="S50" s="751">
        <v>1</v>
      </c>
      <c r="T50" s="714"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9"/>
      <c r="L51" s="769"/>
      <c r="M51" s="786"/>
      <c r="N51" s="787"/>
      <c r="O51" s="114" t="s">
        <v>1974</v>
      </c>
      <c r="P51" s="124"/>
      <c r="Q51" s="794">
        <f>IF(Talents!$O$18="Yes",'Damage Calc'!K49*($AA$2+mpsn)*$AD$2*$AF$2*(Talents!$C$23*0.04+1)*(1+(0.01*miseryimp)*misery)*(1+(thunderfury*thunderfurydps)),0)</f>
        <v>33.347044230796655</v>
      </c>
      <c r="R51" s="116">
        <f>IF(OR(IF(includep1,$B51&lt;=1), IF(includep2,$B51&lt;=2), IF(includep3,$B51&lt;=3), IF(includep4,$B51&lt;=4), IF(includep5,$B51&lt;=5)),MAX($R$48:R50)+1,"")</f>
        <v>2</v>
      </c>
      <c r="S51" s="751">
        <v>2</v>
      </c>
      <c r="T51" s="714"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9"/>
      <c r="L52" s="769"/>
      <c r="M52" s="786"/>
      <c r="N52" s="787"/>
      <c r="O52" s="114" t="s">
        <v>1974</v>
      </c>
      <c r="P52" s="124"/>
      <c r="Q52" s="794"/>
      <c r="R52" s="116">
        <f>IF(OR(IF(includep1,$B52&lt;=1), IF(includep2,$B52&lt;=2), IF(includep3,$B52&lt;=3), IF(includep4,$B52&lt;=4), IF(includep5,$B52&lt;=5)),MAX($R$48:R51)+1,"")</f>
        <v>3</v>
      </c>
      <c r="S52" s="751">
        <v>3</v>
      </c>
      <c r="T52" s="714" t="str">
        <f t="shared" si="3"/>
        <v>Consecrated Sharpening Stone</v>
      </c>
      <c r="U52" s="124"/>
      <c r="AD52" s="48"/>
    </row>
    <row r="53" spans="1:30" ht="11.25" customHeight="1">
      <c r="A53" s="10" t="s">
        <v>2206</v>
      </c>
      <c r="B53" s="114">
        <v>1</v>
      </c>
      <c r="C53" s="114"/>
      <c r="D53" s="114"/>
      <c r="E53" s="114"/>
      <c r="F53" s="115"/>
      <c r="G53" s="115"/>
      <c r="H53" s="114"/>
      <c r="I53" s="114"/>
      <c r="J53" s="116"/>
      <c r="K53" s="769"/>
      <c r="L53" s="769"/>
      <c r="M53" s="786"/>
      <c r="N53" s="787"/>
      <c r="O53" s="114" t="s">
        <v>1974</v>
      </c>
      <c r="P53" s="124"/>
      <c r="Q53" s="794">
        <f>IF(Talents!$O$18="Yes",($AD$28*$AC$2/12*(Talents!$C$23*0.04+1)*(1+(0.01*miseryimp)*misery)*(1+(thunderfury*thunderfurydps)))-lostdp,0)</f>
        <v>77.558933726510688</v>
      </c>
      <c r="R53" s="116">
        <f>IF(OR(IF(includep1,$B53&lt;=1), IF(includep2,$B53&lt;=2), IF(includep3,$B53&lt;=3), IF(includep4,$B53&lt;=4), IF(includep5,$B53&lt;=5)),MAX($R$48:R52)+1,"")</f>
        <v>4</v>
      </c>
      <c r="S53" s="751">
        <v>4</v>
      </c>
      <c r="T53" s="714" t="str">
        <f t="shared" si="3"/>
        <v>Deadly Poison VII</v>
      </c>
      <c r="U53" s="124"/>
      <c r="AD53" s="48"/>
    </row>
    <row r="54" spans="1:30" ht="11.1" customHeight="1">
      <c r="A54" s="10" t="s">
        <v>2841</v>
      </c>
      <c r="B54" s="114">
        <v>1</v>
      </c>
      <c r="C54" s="114"/>
      <c r="D54" s="114"/>
      <c r="E54" s="114"/>
      <c r="F54" s="115"/>
      <c r="G54" s="115"/>
      <c r="H54" s="114"/>
      <c r="I54" s="114"/>
      <c r="J54" s="116"/>
      <c r="K54" s="769">
        <v>8</v>
      </c>
      <c r="L54" s="769">
        <v>8</v>
      </c>
      <c r="M54" s="786">
        <v>8</v>
      </c>
      <c r="N54" s="787"/>
      <c r="O54" s="114" t="s">
        <v>1974</v>
      </c>
      <c r="P54" s="124"/>
      <c r="Q54" s="794"/>
      <c r="R54" s="116">
        <f>IF(OR(IF(includep1,$B54&lt;=1), IF(includep2,$B54&lt;=2), IF(includep3,$B54&lt;=3), IF(includep4,$B54&lt;=4), IF(includep5,$B54&lt;=5)),MAX($R$48:R53)+1,"")</f>
        <v>5</v>
      </c>
      <c r="S54" s="751">
        <v>5</v>
      </c>
      <c r="T54" s="714" t="str">
        <f t="shared" si="3"/>
        <v>Dense Sharpening Stone</v>
      </c>
      <c r="U54" s="189"/>
      <c r="AD54" s="48"/>
    </row>
    <row r="55" spans="1:30" ht="11.1" customHeight="1">
      <c r="A55" s="10" t="s">
        <v>1281</v>
      </c>
      <c r="B55" s="114">
        <v>1</v>
      </c>
      <c r="C55" s="114"/>
      <c r="D55" s="114"/>
      <c r="E55" s="114"/>
      <c r="F55" s="115">
        <v>28</v>
      </c>
      <c r="G55" s="115"/>
      <c r="H55" s="114"/>
      <c r="I55" s="114"/>
      <c r="J55" s="116"/>
      <c r="K55" s="769"/>
      <c r="L55" s="769"/>
      <c r="M55" s="786"/>
      <c r="N55" s="787"/>
      <c r="O55" s="114" t="s">
        <v>1974</v>
      </c>
      <c r="P55" s="124"/>
      <c r="Q55" s="794"/>
      <c r="R55" s="116">
        <f>IF(OR(IF(includep1,$B55&lt;=1), IF(includep2,$B55&lt;=2), IF(includep3,$B55&lt;=3), IF(includep4,$B55&lt;=4), IF(includep5,$B55&lt;=5)),MAX($R$48:R54)+1,"")</f>
        <v>6</v>
      </c>
      <c r="S55" s="751">
        <v>6</v>
      </c>
      <c r="T55" s="714" t="str">
        <f t="shared" si="3"/>
        <v>Elemental Sharpening Stone</v>
      </c>
      <c r="U55" s="189"/>
      <c r="AD55" s="48"/>
    </row>
    <row r="56" spans="1:30" ht="11.1" customHeight="1">
      <c r="A56" s="10" t="s">
        <v>1275</v>
      </c>
      <c r="B56" s="114">
        <v>1</v>
      </c>
      <c r="C56" s="114"/>
      <c r="D56" s="114"/>
      <c r="E56" s="114"/>
      <c r="F56" s="115"/>
      <c r="G56" s="115"/>
      <c r="H56" s="114"/>
      <c r="I56" s="114"/>
      <c r="J56" s="116"/>
      <c r="K56" s="769">
        <v>12</v>
      </c>
      <c r="L56" s="769">
        <v>12</v>
      </c>
      <c r="M56" s="786">
        <v>12</v>
      </c>
      <c r="N56" s="787"/>
      <c r="O56" s="114" t="s">
        <v>1974</v>
      </c>
      <c r="P56" s="124"/>
      <c r="Q56" s="794"/>
      <c r="R56" s="116">
        <f>IF(OR(IF(includep1,$B56&lt;=1), IF(includep2,$B56&lt;=2), IF(includep3,$B56&lt;=3), IF(includep4,$B56&lt;=4), IF(includep5,$B56&lt;=5)),MAX($R$48:R55)+1,"")</f>
        <v>7</v>
      </c>
      <c r="S56" s="751">
        <v>7</v>
      </c>
      <c r="T56" s="714" t="str">
        <f t="shared" si="3"/>
        <v>Fel Sharpening Stone</v>
      </c>
      <c r="U56" s="48"/>
      <c r="AD56" s="48"/>
    </row>
    <row r="57" spans="1:30" ht="11.1" customHeight="1">
      <c r="A57" s="10" t="s">
        <v>1283</v>
      </c>
      <c r="B57" s="114">
        <v>1</v>
      </c>
      <c r="C57" s="114"/>
      <c r="D57" s="114"/>
      <c r="E57" s="114"/>
      <c r="F57" s="115"/>
      <c r="G57" s="115"/>
      <c r="H57" s="114"/>
      <c r="I57" s="114"/>
      <c r="J57" s="116"/>
      <c r="K57" s="769"/>
      <c r="L57" s="769"/>
      <c r="M57" s="786"/>
      <c r="N57" s="787"/>
      <c r="O57" s="114" t="s">
        <v>1974</v>
      </c>
      <c r="P57" s="124"/>
      <c r="Q57" s="794">
        <f>IF(Talents!$O$18="Yes",'Damage Calc'!K49*($AA$2+mpsn)*$AD$2*$AE$2*(Talents!$C$23*0.04+1)*(1+(0.01*miseryimp)*misery)*(1+(thunderfury*thunderfurydps)),0)</f>
        <v>37.052271367551839</v>
      </c>
      <c r="R57" s="116">
        <f>IF(OR(IF(includep1,$B57&lt;=1), IF(includep2,$B57&lt;=2), IF(includep3,$B57&lt;=3), IF(includep4,$B57&lt;=4), IF(includep5,$B57&lt;=5)),MAX($R$48:R56)+1,"")</f>
        <v>8</v>
      </c>
      <c r="S57" s="751">
        <v>8</v>
      </c>
      <c r="T57" s="714"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9"/>
      <c r="L58" s="769"/>
      <c r="M58" s="786"/>
      <c r="N58" s="787"/>
      <c r="O58" s="114" t="s">
        <v>1974</v>
      </c>
      <c r="P58" s="124"/>
      <c r="Q58" s="794"/>
      <c r="R58" s="116" t="str">
        <f>IF(OR(IF(includep1,$B58&lt;=1), IF(includep2,$B58&lt;=2), IF(includep3,$B58&lt;=3), IF(includep4,$B58&lt;=4), IF(includep5,$B58&lt;=5)),MAX($R$48:R57)+1,"")</f>
        <v/>
      </c>
      <c r="S58" s="751">
        <v>9</v>
      </c>
      <c r="T58" s="714" t="str">
        <f t="shared" si="3"/>
        <v>Wound Poison</v>
      </c>
      <c r="U58" s="48"/>
      <c r="AD58" s="48"/>
    </row>
    <row r="59" spans="1:30" ht="11.1" customHeight="1">
      <c r="A59" s="10" t="s">
        <v>1285</v>
      </c>
      <c r="B59" s="114">
        <v>1</v>
      </c>
      <c r="C59" s="114"/>
      <c r="D59" s="114"/>
      <c r="E59" s="114"/>
      <c r="F59" s="115"/>
      <c r="G59" s="115"/>
      <c r="H59" s="114"/>
      <c r="I59" s="114"/>
      <c r="J59" s="116"/>
      <c r="K59" s="769"/>
      <c r="L59" s="769"/>
      <c r="M59" s="786"/>
      <c r="N59" s="787"/>
      <c r="O59" s="114" t="s">
        <v>1974</v>
      </c>
      <c r="P59" s="124"/>
      <c r="Q59" s="794">
        <f>IF(Talents!$O$18="Yes",'Damage Calc'!K49*($AA$2+mpsn)*$AG$2*$AH$2*(Talents!$C$23*0.04+1)*(1+(0.01*miseryimp)*misery)*(1+(thunderfury*thunderfurydps)),0)</f>
        <v>21.250567401978262</v>
      </c>
      <c r="R59" s="116">
        <f>IF(OR(IF(includep1,$B59&lt;=1), IF(includep2,$B59&lt;=2), IF(includep3,$B59&lt;=3), IF(includep4,$B59&lt;=4), IF(includep5,$B59&lt;=5)),MAX($R$48:R58)+1,"")</f>
        <v>9</v>
      </c>
      <c r="S59" s="751">
        <v>10</v>
      </c>
      <c r="T59" s="714" t="str">
        <f t="shared" si="3"/>
        <v/>
      </c>
      <c r="U59" s="48"/>
      <c r="AD59" s="48"/>
    </row>
    <row r="60" spans="1:30" ht="11.1" customHeight="1">
      <c r="A60" s="189"/>
      <c r="B60" s="21"/>
      <c r="C60" s="21"/>
      <c r="D60" s="21"/>
      <c r="E60" s="21"/>
      <c r="F60" s="21"/>
      <c r="G60" s="21"/>
      <c r="H60" s="21"/>
      <c r="I60" s="21"/>
      <c r="J60" s="21"/>
      <c r="K60" s="769"/>
      <c r="L60" s="769"/>
      <c r="M60" s="769"/>
      <c r="N60" s="21"/>
      <c r="O60" s="21"/>
      <c r="P60" s="21"/>
      <c r="Q60" s="21"/>
      <c r="R60" s="50"/>
      <c r="S60" s="50"/>
      <c r="T60" s="789"/>
      <c r="U60" s="48"/>
      <c r="AD60" s="48"/>
    </row>
    <row r="61" spans="1:30" ht="11.1" customHeight="1">
      <c r="A61" s="189"/>
      <c r="B61" s="21"/>
      <c r="C61" s="21"/>
      <c r="D61" s="21"/>
      <c r="E61" s="21"/>
      <c r="F61" s="21"/>
      <c r="G61" s="21"/>
      <c r="H61" s="21"/>
      <c r="I61" s="21"/>
      <c r="J61" s="21"/>
      <c r="K61" s="769"/>
      <c r="L61" s="769"/>
      <c r="M61" s="769"/>
      <c r="N61" s="21"/>
      <c r="O61" s="21"/>
      <c r="P61" s="21"/>
      <c r="Q61" s="21"/>
      <c r="R61" s="50"/>
      <c r="S61" s="50"/>
      <c r="T61" s="789"/>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700" t="s">
        <v>3104</v>
      </c>
      <c r="B1" s="700" t="s">
        <v>1214</v>
      </c>
      <c r="C1" s="700" t="s">
        <v>1215</v>
      </c>
      <c r="D1" s="700" t="s">
        <v>1216</v>
      </c>
      <c r="E1" s="700" t="s">
        <v>2140</v>
      </c>
      <c r="F1" s="700" t="s">
        <v>2139</v>
      </c>
      <c r="G1" s="700" t="s">
        <v>768</v>
      </c>
      <c r="H1" s="700" t="s">
        <v>264</v>
      </c>
      <c r="I1" s="700" t="s">
        <v>2426</v>
      </c>
      <c r="J1" s="700"/>
      <c r="K1" s="700"/>
      <c r="L1" s="700"/>
      <c r="M1" s="700" t="s">
        <v>1218</v>
      </c>
      <c r="O1" s="6" t="s">
        <v>3103</v>
      </c>
    </row>
    <row r="2" spans="1:17">
      <c r="A2" s="142" t="s">
        <v>2464</v>
      </c>
      <c r="B2" s="120">
        <f>23+74</f>
        <v>97</v>
      </c>
      <c r="C2" s="120">
        <f>19+135</f>
        <v>154</v>
      </c>
      <c r="D2" s="120">
        <f>24+68</f>
        <v>92</v>
      </c>
      <c r="E2" s="338"/>
      <c r="F2" s="338"/>
      <c r="G2" s="120"/>
      <c r="H2" s="120"/>
      <c r="I2" s="120"/>
      <c r="J2" s="120"/>
      <c r="K2" s="120"/>
      <c r="L2" s="120"/>
      <c r="M2" s="120"/>
      <c r="N2" s="218"/>
      <c r="O2" s="120">
        <v>0</v>
      </c>
      <c r="P2" s="120"/>
      <c r="Q2" s="120" t="s">
        <v>144</v>
      </c>
    </row>
    <row r="3" spans="1:17">
      <c r="A3" s="142" t="s">
        <v>2465</v>
      </c>
      <c r="B3" s="120">
        <f>16+74</f>
        <v>90</v>
      </c>
      <c r="C3" s="120">
        <f>26+135</f>
        <v>161</v>
      </c>
      <c r="D3" s="120">
        <f>20+68</f>
        <v>88</v>
      </c>
      <c r="E3" s="338"/>
      <c r="F3" s="120"/>
      <c r="G3" s="120"/>
      <c r="H3" s="120"/>
      <c r="I3" s="120"/>
      <c r="J3" s="120"/>
      <c r="K3" s="120"/>
      <c r="L3" s="120"/>
      <c r="M3" s="120"/>
      <c r="N3" s="120"/>
      <c r="O3" s="120">
        <v>1</v>
      </c>
      <c r="P3" s="120"/>
      <c r="Q3" s="120" t="s">
        <v>751</v>
      </c>
    </row>
    <row r="4" spans="1:17">
      <c r="A4" s="142" t="s">
        <v>2466</v>
      </c>
      <c r="B4" s="120">
        <f>21+74</f>
        <v>95</v>
      </c>
      <c r="C4" s="120">
        <f>23+135</f>
        <v>158</v>
      </c>
      <c r="D4" s="120">
        <f>21+68</f>
        <v>89</v>
      </c>
      <c r="E4" s="218"/>
      <c r="F4" s="120"/>
      <c r="G4" s="120"/>
      <c r="H4" s="120"/>
      <c r="I4" s="120"/>
      <c r="J4" s="120"/>
      <c r="K4" s="120"/>
      <c r="L4" s="120"/>
      <c r="M4" s="120"/>
      <c r="N4" s="120"/>
      <c r="O4" s="120">
        <v>2</v>
      </c>
      <c r="P4" s="120"/>
      <c r="Q4" s="120"/>
    </row>
    <row r="5" spans="1:17">
      <c r="A5" s="142" t="s">
        <v>2467</v>
      </c>
      <c r="B5" s="120">
        <f>18+74</f>
        <v>92</v>
      </c>
      <c r="C5" s="120">
        <f>28+135</f>
        <v>163</v>
      </c>
      <c r="D5" s="120">
        <f>20+68</f>
        <v>88</v>
      </c>
      <c r="E5" s="338"/>
      <c r="F5" s="120"/>
      <c r="G5" s="120"/>
      <c r="H5" s="654">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8"/>
      <c r="F6" s="120"/>
      <c r="G6" s="218">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8">
        <f>IF(AND(time=0,includeracials), MIN(10+ 33*(1-berserkinghp), 30)*hasterate*10/180, 0)</f>
        <v>0</v>
      </c>
      <c r="N7" s="120"/>
      <c r="O7" s="120">
        <v>5</v>
      </c>
      <c r="P7" s="120"/>
      <c r="Q7" s="120"/>
    </row>
    <row r="8" spans="1:17">
      <c r="A8" s="142" t="s">
        <v>145</v>
      </c>
      <c r="B8" s="120">
        <f>20+74</f>
        <v>94</v>
      </c>
      <c r="C8" s="120">
        <f>21+135</f>
        <v>156</v>
      </c>
      <c r="D8" s="120">
        <f>22+68</f>
        <v>90</v>
      </c>
      <c r="E8" s="338"/>
      <c r="F8" s="120"/>
      <c r="G8" s="120"/>
      <c r="H8" s="338"/>
      <c r="I8" s="120"/>
      <c r="J8" s="120"/>
      <c r="K8" s="120"/>
      <c r="L8" s="120"/>
      <c r="M8" s="120"/>
      <c r="N8" s="120"/>
      <c r="O8" s="120"/>
      <c r="P8" s="120"/>
      <c r="Q8" s="120"/>
    </row>
    <row r="9" spans="1:17">
      <c r="A9" s="142" t="s">
        <v>2470</v>
      </c>
      <c r="B9" s="120">
        <f>18+74</f>
        <v>92</v>
      </c>
      <c r="C9" s="120">
        <f>25+135</f>
        <v>160</v>
      </c>
      <c r="D9" s="120">
        <f>19+68</f>
        <v>87</v>
      </c>
      <c r="E9" s="338"/>
      <c r="F9" s="338"/>
      <c r="G9" s="120"/>
      <c r="H9" s="338"/>
      <c r="I9" s="120"/>
      <c r="J9" s="120"/>
      <c r="K9" s="120"/>
      <c r="L9" s="120"/>
      <c r="M9" s="120"/>
      <c r="N9" s="120"/>
      <c r="O9" s="120"/>
      <c r="P9" s="120"/>
      <c r="Q9" s="120"/>
    </row>
    <row r="10" spans="1:17">
      <c r="A10" s="142"/>
      <c r="B10" s="120"/>
      <c r="C10" s="120"/>
      <c r="D10" s="120"/>
      <c r="E10" s="338"/>
      <c r="F10" s="338"/>
      <c r="G10" s="120"/>
      <c r="H10" s="120"/>
      <c r="I10" s="120"/>
      <c r="J10" s="120"/>
      <c r="K10" s="120"/>
      <c r="L10" s="120"/>
      <c r="M10" s="120"/>
      <c r="N10" s="120"/>
      <c r="O10" s="120"/>
      <c r="P10" s="120"/>
      <c r="Q10" s="120"/>
    </row>
    <row r="11" spans="1:17">
      <c r="A11" s="142"/>
      <c r="B11" s="120"/>
      <c r="C11" s="120"/>
      <c r="D11" s="120"/>
      <c r="E11" s="338"/>
      <c r="F11" s="120"/>
      <c r="G11" s="120"/>
      <c r="H11" s="120"/>
      <c r="I11" s="120"/>
      <c r="J11" s="120"/>
      <c r="K11" s="120"/>
      <c r="L11" s="120"/>
      <c r="M11" s="120"/>
    </row>
    <row r="12" spans="1:17">
      <c r="A12" s="142"/>
      <c r="B12" s="120"/>
      <c r="C12" s="120"/>
      <c r="D12" s="120"/>
      <c r="E12" s="218"/>
      <c r="F12" s="120"/>
      <c r="G12" s="120"/>
      <c r="H12" s="120"/>
      <c r="I12" s="120"/>
      <c r="J12" s="120"/>
      <c r="K12" s="120"/>
      <c r="L12" s="120"/>
      <c r="M12" s="120"/>
    </row>
    <row r="13" spans="1:17">
      <c r="A13" s="142"/>
      <c r="B13" s="120"/>
      <c r="C13" s="120"/>
      <c r="D13" s="120"/>
      <c r="E13" s="338"/>
      <c r="F13" s="120"/>
      <c r="G13" s="120"/>
      <c r="H13" s="654"/>
      <c r="I13" s="120"/>
      <c r="J13" s="120"/>
      <c r="K13" s="120"/>
      <c r="L13" s="120"/>
      <c r="M13" s="120"/>
    </row>
    <row r="14" spans="1:17">
      <c r="A14" s="142"/>
      <c r="B14" s="120"/>
      <c r="C14" s="120"/>
      <c r="D14" s="120"/>
      <c r="E14" s="338"/>
      <c r="F14" s="120"/>
      <c r="G14" s="120"/>
      <c r="H14" s="338"/>
      <c r="I14" s="120"/>
      <c r="J14" s="120"/>
      <c r="K14" s="120"/>
      <c r="L14" s="120"/>
      <c r="M14" s="120"/>
    </row>
    <row r="15" spans="1:17">
      <c r="A15" s="142"/>
      <c r="B15" s="120"/>
      <c r="C15" s="120"/>
      <c r="D15" s="120"/>
      <c r="E15" s="338"/>
      <c r="F15" s="338"/>
      <c r="G15" s="120"/>
      <c r="H15" s="338"/>
      <c r="I15" s="120"/>
      <c r="J15" s="120"/>
      <c r="K15" s="120"/>
      <c r="L15" s="120"/>
      <c r="M15" s="120"/>
    </row>
    <row r="16" spans="1:17">
      <c r="A16" s="142"/>
      <c r="B16" s="120"/>
      <c r="C16" s="120"/>
      <c r="D16" s="120"/>
      <c r="E16" s="120"/>
      <c r="F16" s="338"/>
      <c r="G16" s="120"/>
      <c r="H16" s="120"/>
      <c r="I16" s="120"/>
      <c r="J16" s="120"/>
      <c r="K16" s="120"/>
      <c r="L16" s="120"/>
      <c r="M16" s="120"/>
    </row>
    <row r="17" spans="1:14">
      <c r="A17" s="142"/>
      <c r="B17" s="120"/>
      <c r="C17" s="120"/>
      <c r="D17" s="120"/>
      <c r="E17" s="120"/>
      <c r="F17" s="338"/>
      <c r="G17" s="120"/>
      <c r="H17" s="120"/>
      <c r="I17" s="120"/>
      <c r="J17" s="120"/>
      <c r="K17" s="120"/>
      <c r="L17" s="120"/>
      <c r="M17" s="120"/>
    </row>
    <row r="18" spans="1:14">
      <c r="A18" s="142"/>
      <c r="B18" s="120"/>
      <c r="C18" s="120"/>
      <c r="D18" s="120"/>
      <c r="E18" s="120"/>
      <c r="F18" s="338"/>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7"/>
      <c r="C20" s="317"/>
      <c r="D20" s="317"/>
      <c r="E20" s="317"/>
      <c r="F20" s="317"/>
      <c r="G20" s="317"/>
      <c r="H20" s="317"/>
      <c r="I20" s="317"/>
      <c r="J20" s="317"/>
      <c r="K20" s="317"/>
      <c r="L20" s="317"/>
      <c r="M20" s="317"/>
    </row>
    <row r="21" spans="1:14">
      <c r="A21" s="142"/>
      <c r="B21" s="200"/>
      <c r="C21" s="200"/>
      <c r="D21" s="200"/>
      <c r="E21" s="200"/>
      <c r="F21" s="200"/>
      <c r="G21" s="200"/>
      <c r="H21" s="200"/>
      <c r="I21" s="200"/>
      <c r="J21" s="200"/>
      <c r="K21" s="200"/>
      <c r="L21" s="200"/>
      <c r="M21" s="200"/>
    </row>
    <row r="22" spans="1:14">
      <c r="A22" s="142"/>
      <c r="B22" s="120"/>
      <c r="C22" s="120"/>
      <c r="D22" s="120"/>
      <c r="E22" s="338"/>
      <c r="F22" s="338"/>
      <c r="G22" s="120"/>
      <c r="H22" s="338"/>
      <c r="I22" s="120"/>
      <c r="J22" s="120"/>
      <c r="K22" s="120"/>
      <c r="L22" s="120"/>
      <c r="M22" s="120"/>
    </row>
    <row r="23" spans="1:14">
      <c r="A23" s="142"/>
      <c r="B23" s="120"/>
      <c r="C23" s="120"/>
      <c r="D23" s="120"/>
      <c r="E23" s="120"/>
      <c r="F23" s="338"/>
      <c r="G23" s="120"/>
      <c r="H23" s="120"/>
      <c r="I23" s="120"/>
      <c r="J23" s="120"/>
      <c r="K23" s="120"/>
      <c r="L23" s="120"/>
      <c r="M23" s="120"/>
    </row>
    <row r="24" spans="1:14">
      <c r="A24" s="142"/>
      <c r="B24" s="120"/>
      <c r="C24" s="120"/>
      <c r="D24" s="120"/>
      <c r="E24" s="338"/>
      <c r="F24" s="338"/>
      <c r="G24" s="120"/>
      <c r="H24" s="120"/>
      <c r="I24" s="120"/>
      <c r="J24" s="120"/>
      <c r="K24" s="120"/>
      <c r="L24" s="120"/>
      <c r="M24" s="120"/>
    </row>
    <row r="25" spans="1:14">
      <c r="A25" s="142"/>
      <c r="B25" s="120"/>
      <c r="C25" s="120"/>
      <c r="D25" s="120"/>
      <c r="E25" s="338"/>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8"/>
      <c r="F27" s="120"/>
      <c r="G27" s="120"/>
      <c r="H27" s="120"/>
      <c r="I27" s="120"/>
      <c r="J27" s="120"/>
      <c r="K27" s="120"/>
      <c r="L27" s="120"/>
      <c r="M27" s="120"/>
    </row>
    <row r="28" spans="1:14">
      <c r="A28" s="655"/>
      <c r="H28" s="317"/>
      <c r="I28" s="317"/>
      <c r="J28" s="317"/>
      <c r="K28" s="317"/>
      <c r="L28" s="317"/>
      <c r="M28" s="317"/>
    </row>
    <row r="29" spans="1:14">
      <c r="A29" s="656"/>
      <c r="B29" s="200"/>
      <c r="C29" s="200"/>
      <c r="D29" s="200"/>
      <c r="E29" s="200"/>
      <c r="F29" s="200"/>
      <c r="G29" s="200"/>
      <c r="H29" s="200"/>
      <c r="I29" s="200"/>
      <c r="J29" s="200"/>
      <c r="K29" s="200"/>
      <c r="L29" s="200"/>
      <c r="M29" s="200"/>
    </row>
    <row r="30" spans="1:14">
      <c r="A30" s="142"/>
      <c r="B30" s="120"/>
      <c r="C30" s="120"/>
      <c r="D30" s="120"/>
      <c r="E30" s="338"/>
      <c r="F30" s="338"/>
      <c r="G30" s="120"/>
      <c r="H30" s="338"/>
      <c r="I30" s="120"/>
      <c r="J30" s="120"/>
      <c r="K30" s="120"/>
      <c r="L30" s="120"/>
      <c r="M30" s="120"/>
      <c r="N30" s="148"/>
    </row>
    <row r="31" spans="1:14">
      <c r="A31" s="142"/>
      <c r="B31" s="120"/>
      <c r="C31" s="120"/>
      <c r="D31" s="120"/>
      <c r="E31" s="338"/>
      <c r="F31" s="120"/>
      <c r="G31" s="120"/>
      <c r="H31" s="120"/>
      <c r="I31" s="120"/>
      <c r="J31" s="120"/>
      <c r="K31" s="120"/>
      <c r="L31" s="120"/>
      <c r="M31" s="120"/>
    </row>
    <row r="32" spans="1:14">
      <c r="A32" s="142"/>
      <c r="B32" s="120"/>
      <c r="C32" s="120"/>
      <c r="D32" s="120"/>
      <c r="E32" s="120"/>
      <c r="F32" s="120"/>
      <c r="G32" s="120"/>
      <c r="H32" s="338"/>
      <c r="I32" s="120"/>
      <c r="J32" s="120"/>
      <c r="K32" s="120"/>
      <c r="L32" s="120"/>
      <c r="M32" s="120"/>
    </row>
    <row r="33" spans="1:14">
      <c r="A33" s="142"/>
      <c r="B33" s="120"/>
      <c r="C33" s="120"/>
      <c r="D33" s="120"/>
      <c r="E33" s="338"/>
      <c r="F33" s="120"/>
      <c r="G33" s="120"/>
      <c r="H33" s="338"/>
      <c r="I33" s="120"/>
      <c r="J33" s="120"/>
      <c r="K33" s="120"/>
      <c r="L33" s="120"/>
      <c r="M33" s="120"/>
      <c r="N33" s="327"/>
    </row>
    <row r="34" spans="1:14">
      <c r="A34" s="142"/>
      <c r="B34" s="120"/>
      <c r="C34" s="120"/>
      <c r="D34" s="120"/>
      <c r="E34" s="338"/>
      <c r="F34" s="120"/>
      <c r="G34" s="120"/>
      <c r="H34" s="120"/>
      <c r="I34" s="120"/>
      <c r="J34" s="120"/>
      <c r="K34" s="120"/>
      <c r="L34" s="120"/>
      <c r="M34" s="120"/>
      <c r="N34" s="120"/>
    </row>
    <row r="35" spans="1:14">
      <c r="A35" s="142"/>
      <c r="B35" s="120"/>
      <c r="C35" s="120"/>
      <c r="D35" s="120"/>
      <c r="E35" s="338"/>
      <c r="F35" s="120"/>
      <c r="G35" s="120"/>
      <c r="H35" s="338"/>
      <c r="I35" s="120"/>
      <c r="J35" s="120"/>
      <c r="K35" s="120"/>
      <c r="L35" s="120"/>
      <c r="M35" s="120"/>
    </row>
    <row r="36" spans="1:14">
      <c r="A36" s="142"/>
      <c r="B36" s="120"/>
      <c r="C36" s="120"/>
      <c r="D36" s="120"/>
      <c r="E36" s="120"/>
      <c r="F36" s="120"/>
      <c r="G36" s="120"/>
      <c r="H36" s="120"/>
      <c r="I36" s="120"/>
      <c r="J36" s="120"/>
      <c r="K36" s="120"/>
      <c r="L36" s="120"/>
      <c r="M36" s="120"/>
    </row>
    <row r="37" spans="1:14">
      <c r="A37" s="657"/>
      <c r="B37" s="317"/>
      <c r="C37" s="317"/>
      <c r="D37" s="317"/>
      <c r="E37" s="317"/>
      <c r="F37" s="317"/>
      <c r="G37" s="317"/>
      <c r="H37" s="317"/>
      <c r="I37" s="317"/>
      <c r="J37" s="317"/>
      <c r="K37" s="317"/>
      <c r="L37" s="317"/>
      <c r="M37" s="317"/>
    </row>
    <row r="38" spans="1:14">
      <c r="A38" s="656"/>
      <c r="B38" s="200"/>
      <c r="C38" s="200"/>
      <c r="D38" s="200"/>
      <c r="E38" s="200"/>
      <c r="F38" s="200"/>
      <c r="G38" s="200"/>
      <c r="H38" s="200"/>
      <c r="I38" s="200"/>
      <c r="J38" s="200"/>
      <c r="K38" s="200"/>
      <c r="L38" s="200"/>
      <c r="M38" s="200"/>
    </row>
    <row r="39" spans="1:14">
      <c r="A39" s="142"/>
      <c r="B39" s="120"/>
      <c r="C39" s="120"/>
      <c r="D39" s="120"/>
      <c r="E39" s="338"/>
      <c r="F39" s="120"/>
      <c r="G39" s="120"/>
      <c r="H39" s="120"/>
      <c r="I39" s="120"/>
      <c r="J39" s="120"/>
      <c r="K39" s="120"/>
      <c r="L39" s="120"/>
      <c r="M39" s="120"/>
    </row>
    <row r="40" spans="1:14">
      <c r="A40" s="142"/>
      <c r="B40" s="120"/>
      <c r="C40" s="120"/>
      <c r="D40" s="120"/>
      <c r="E40" s="338"/>
      <c r="F40" s="120"/>
      <c r="G40" s="120"/>
      <c r="H40" s="338"/>
      <c r="I40" s="120"/>
      <c r="J40" s="120"/>
      <c r="K40" s="120"/>
      <c r="L40" s="120"/>
      <c r="M40" s="120"/>
    </row>
    <row r="41" spans="1:14">
      <c r="A41" s="142"/>
      <c r="B41" s="120"/>
      <c r="C41" s="120"/>
      <c r="D41" s="120"/>
      <c r="E41" s="338"/>
      <c r="F41" s="120"/>
      <c r="G41" s="120"/>
      <c r="H41" s="338"/>
      <c r="I41" s="120"/>
      <c r="J41" s="120"/>
      <c r="K41" s="120"/>
      <c r="L41" s="120"/>
      <c r="M41" s="120"/>
    </row>
    <row r="42" spans="1:14">
      <c r="A42" s="142"/>
      <c r="B42" s="120"/>
      <c r="C42" s="120"/>
      <c r="D42" s="120"/>
      <c r="E42" s="338"/>
      <c r="F42" s="120"/>
      <c r="G42" s="120"/>
      <c r="H42" s="120"/>
      <c r="I42" s="120"/>
      <c r="J42" s="120"/>
      <c r="K42" s="120"/>
      <c r="L42" s="120"/>
      <c r="M42" s="120"/>
    </row>
    <row r="43" spans="1:14">
      <c r="A43" s="657"/>
      <c r="B43" s="317"/>
      <c r="C43" s="317"/>
      <c r="D43" s="317"/>
      <c r="E43" s="317"/>
      <c r="F43" s="317"/>
      <c r="G43" s="317"/>
      <c r="H43" s="317"/>
      <c r="I43" s="317"/>
      <c r="J43" s="317"/>
      <c r="K43" s="317"/>
      <c r="L43" s="317"/>
      <c r="M43" s="317"/>
    </row>
    <row r="44" spans="1:14">
      <c r="A44" s="656"/>
      <c r="B44" s="200"/>
      <c r="C44" s="200"/>
      <c r="D44" s="200"/>
      <c r="E44" s="200"/>
      <c r="F44" s="200"/>
      <c r="G44" s="200"/>
      <c r="H44" s="200"/>
      <c r="I44" s="200"/>
      <c r="J44" s="200"/>
      <c r="K44" s="200"/>
      <c r="L44" s="200"/>
      <c r="M44" s="200"/>
    </row>
    <row r="45" spans="1:14">
      <c r="A45" s="142"/>
      <c r="B45" s="120"/>
      <c r="C45" s="120"/>
      <c r="D45" s="120"/>
      <c r="E45" s="120"/>
      <c r="F45" s="338"/>
      <c r="G45" s="120"/>
      <c r="H45" s="120"/>
      <c r="I45" s="120"/>
      <c r="J45" s="120"/>
      <c r="K45" s="120"/>
      <c r="L45" s="120"/>
      <c r="M45" s="120"/>
      <c r="N45" s="148"/>
    </row>
    <row r="46" spans="1:14">
      <c r="A46" s="142"/>
      <c r="B46" s="120"/>
      <c r="C46" s="120"/>
      <c r="D46" s="120"/>
      <c r="E46" s="120"/>
      <c r="F46" s="120"/>
      <c r="G46" s="120"/>
      <c r="H46" s="338"/>
      <c r="I46" s="120"/>
      <c r="J46" s="120"/>
      <c r="K46" s="120"/>
      <c r="L46" s="120"/>
      <c r="M46" s="120"/>
      <c r="N46" s="148"/>
    </row>
    <row r="47" spans="1:14">
      <c r="A47" s="142"/>
      <c r="B47" s="120"/>
      <c r="C47" s="120"/>
      <c r="D47" s="120"/>
      <c r="E47" s="120"/>
      <c r="F47" s="338"/>
      <c r="G47" s="120"/>
      <c r="H47" s="338"/>
      <c r="I47" s="120"/>
      <c r="J47" s="120"/>
      <c r="K47" s="120"/>
      <c r="L47" s="120"/>
      <c r="M47" s="120"/>
    </row>
    <row r="48" spans="1:14">
      <c r="A48" s="142"/>
      <c r="B48" s="120"/>
      <c r="C48" s="120"/>
      <c r="D48" s="120"/>
      <c r="E48" s="120"/>
      <c r="F48" s="338"/>
      <c r="G48" s="120"/>
      <c r="H48" s="120"/>
      <c r="I48" s="120"/>
      <c r="J48" s="120"/>
      <c r="K48" s="120"/>
      <c r="L48" s="120"/>
      <c r="M48" s="120"/>
    </row>
    <row r="49" spans="1:14">
      <c r="A49" s="142"/>
      <c r="B49" s="120"/>
      <c r="C49" s="120"/>
      <c r="D49" s="120"/>
      <c r="E49" s="120"/>
      <c r="F49" s="338"/>
      <c r="G49" s="120"/>
      <c r="H49" s="120"/>
      <c r="I49" s="120"/>
      <c r="J49" s="120"/>
      <c r="K49" s="120"/>
      <c r="L49" s="120"/>
      <c r="M49" s="120"/>
    </row>
    <row r="50" spans="1:14">
      <c r="A50" s="142"/>
      <c r="B50" s="120"/>
      <c r="C50" s="120"/>
      <c r="D50" s="120"/>
      <c r="E50" s="120"/>
      <c r="F50" s="338"/>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8"/>
      <c r="G52" s="120"/>
      <c r="H52" s="120"/>
      <c r="I52" s="120"/>
      <c r="J52" s="120"/>
      <c r="K52" s="120"/>
      <c r="L52" s="120"/>
      <c r="M52" s="120"/>
    </row>
    <row r="53" spans="1:14">
      <c r="A53" s="657"/>
      <c r="B53" s="317"/>
      <c r="C53" s="317"/>
      <c r="D53" s="317"/>
      <c r="E53" s="317"/>
      <c r="F53" s="317"/>
      <c r="G53" s="317"/>
      <c r="H53" s="317"/>
      <c r="I53" s="317"/>
      <c r="J53" s="317"/>
      <c r="K53" s="317"/>
      <c r="L53" s="317"/>
      <c r="M53" s="317"/>
    </row>
    <row r="54" spans="1:14">
      <c r="A54" s="656"/>
      <c r="B54" s="200"/>
      <c r="C54" s="200"/>
      <c r="D54" s="200"/>
      <c r="E54" s="200"/>
      <c r="F54" s="200"/>
      <c r="G54" s="200"/>
      <c r="H54" s="200"/>
      <c r="I54" s="200"/>
      <c r="J54" s="200"/>
      <c r="K54" s="200"/>
      <c r="L54" s="200"/>
      <c r="M54" s="200"/>
    </row>
    <row r="55" spans="1:14">
      <c r="A55" s="142"/>
      <c r="B55" s="120"/>
      <c r="C55" s="120"/>
      <c r="D55" s="120"/>
      <c r="E55" s="120"/>
      <c r="F55" s="338"/>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8"/>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8"/>
      <c r="G60" s="120"/>
      <c r="H60" s="120"/>
      <c r="I60" s="120"/>
      <c r="J60" s="120"/>
      <c r="K60" s="120"/>
      <c r="L60" s="120"/>
      <c r="M60" s="120"/>
    </row>
    <row r="61" spans="1:14">
      <c r="A61" s="142"/>
      <c r="B61" s="120"/>
      <c r="C61" s="120"/>
      <c r="D61" s="120"/>
      <c r="E61" s="338"/>
      <c r="F61" s="120"/>
      <c r="G61" s="120"/>
      <c r="H61" s="120"/>
      <c r="I61" s="120"/>
      <c r="J61" s="120"/>
      <c r="K61" s="120"/>
      <c r="L61" s="120"/>
      <c r="M61" s="120"/>
    </row>
    <row r="62" spans="1:14">
      <c r="A62" s="657"/>
      <c r="B62" s="317"/>
      <c r="C62" s="317"/>
      <c r="D62" s="317"/>
      <c r="E62" s="317"/>
      <c r="F62" s="317"/>
      <c r="G62" s="317"/>
      <c r="H62" s="317"/>
      <c r="I62" s="317"/>
      <c r="J62" s="317"/>
      <c r="K62" s="317"/>
      <c r="L62" s="317"/>
      <c r="M62" s="317"/>
    </row>
    <row r="63" spans="1:14">
      <c r="A63" s="656"/>
      <c r="B63" s="200"/>
      <c r="C63" s="200"/>
      <c r="D63" s="200"/>
      <c r="E63" s="200"/>
      <c r="F63" s="200"/>
      <c r="G63" s="200"/>
      <c r="H63" s="200"/>
      <c r="I63" s="200"/>
      <c r="J63" s="200"/>
      <c r="K63" s="200"/>
      <c r="L63" s="200"/>
      <c r="M63" s="200"/>
    </row>
    <row r="64" spans="1:14">
      <c r="A64" s="142"/>
      <c r="B64" s="120"/>
      <c r="C64" s="120"/>
      <c r="D64" s="120"/>
      <c r="E64" s="338"/>
      <c r="F64" s="338"/>
      <c r="G64" s="120"/>
      <c r="H64" s="338"/>
      <c r="I64" s="120"/>
      <c r="J64" s="120"/>
      <c r="K64" s="120"/>
      <c r="L64" s="120"/>
      <c r="M64" s="120"/>
      <c r="N64" s="327"/>
    </row>
    <row r="65" spans="1:14">
      <c r="A65" s="142"/>
      <c r="B65" s="120"/>
      <c r="C65" s="120"/>
      <c r="D65" s="120"/>
      <c r="E65" s="338"/>
      <c r="F65" s="338"/>
      <c r="G65" s="120"/>
      <c r="H65" s="338"/>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8"/>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8"/>
      <c r="F70" s="338"/>
      <c r="G70" s="120"/>
      <c r="H70" s="120"/>
      <c r="I70" s="120"/>
      <c r="J70" s="120"/>
      <c r="K70" s="120"/>
      <c r="L70" s="120"/>
      <c r="M70" s="120"/>
    </row>
    <row r="71" spans="1:14">
      <c r="A71" s="658"/>
      <c r="B71" s="317"/>
      <c r="C71" s="317"/>
      <c r="D71" s="317"/>
      <c r="E71" s="317"/>
      <c r="F71" s="317"/>
      <c r="G71" s="317"/>
      <c r="H71" s="317"/>
      <c r="I71" s="317"/>
      <c r="J71" s="317"/>
      <c r="K71" s="317"/>
      <c r="L71" s="317"/>
      <c r="M71" s="317"/>
    </row>
    <row r="72" spans="1:14">
      <c r="A72" s="656"/>
      <c r="B72" s="200"/>
      <c r="C72" s="200"/>
      <c r="D72" s="200"/>
      <c r="E72" s="200"/>
      <c r="F72" s="200"/>
      <c r="G72" s="200"/>
      <c r="H72" s="200"/>
      <c r="I72" s="200"/>
      <c r="J72" s="200"/>
      <c r="K72" s="200"/>
      <c r="L72" s="200"/>
      <c r="M72" s="200"/>
    </row>
    <row r="73" spans="1:14">
      <c r="A73" s="142"/>
      <c r="B73" s="120"/>
      <c r="C73" s="120"/>
      <c r="D73" s="120"/>
      <c r="E73" s="338"/>
      <c r="F73" s="338"/>
      <c r="G73" s="120"/>
      <c r="H73" s="120"/>
      <c r="I73" s="120"/>
      <c r="J73" s="120"/>
      <c r="K73" s="120"/>
      <c r="L73" s="120"/>
      <c r="M73" s="120"/>
    </row>
    <row r="74" spans="1:14">
      <c r="A74" s="142"/>
      <c r="B74" s="120"/>
      <c r="C74" s="120"/>
      <c r="D74" s="120"/>
      <c r="E74" s="120"/>
      <c r="F74" s="338"/>
      <c r="G74" s="120"/>
      <c r="H74" s="120"/>
      <c r="I74" s="120"/>
      <c r="J74" s="120"/>
      <c r="K74" s="120"/>
      <c r="L74" s="120"/>
      <c r="M74" s="120"/>
    </row>
    <row r="75" spans="1:14">
      <c r="A75" s="142"/>
      <c r="B75" s="120"/>
      <c r="C75" s="120"/>
      <c r="D75" s="120"/>
      <c r="E75" s="120"/>
      <c r="F75" s="338"/>
      <c r="G75" s="120"/>
      <c r="H75" s="120"/>
      <c r="I75" s="120"/>
      <c r="J75" s="120"/>
      <c r="K75" s="120"/>
      <c r="L75" s="120"/>
      <c r="M75" s="120"/>
    </row>
    <row r="76" spans="1:14">
      <c r="A76" s="142"/>
      <c r="B76" s="120"/>
      <c r="C76" s="120"/>
      <c r="D76" s="120"/>
      <c r="E76" s="338"/>
      <c r="F76" s="338"/>
      <c r="G76" s="120"/>
      <c r="H76" s="120"/>
      <c r="I76" s="120"/>
      <c r="J76" s="120"/>
      <c r="K76" s="120"/>
      <c r="L76" s="120"/>
      <c r="M76" s="120"/>
    </row>
    <row r="77" spans="1:14">
      <c r="A77" s="142"/>
      <c r="B77" s="120"/>
      <c r="C77" s="120"/>
      <c r="D77" s="120"/>
      <c r="E77" s="338"/>
      <c r="F77" s="338"/>
      <c r="G77" s="120"/>
      <c r="H77" s="120"/>
      <c r="I77" s="120"/>
      <c r="J77" s="120"/>
      <c r="K77" s="120"/>
      <c r="L77" s="120"/>
      <c r="M77" s="120"/>
    </row>
    <row r="78" spans="1:14">
      <c r="A78" s="142"/>
      <c r="B78" s="120"/>
      <c r="C78" s="120"/>
      <c r="D78" s="120"/>
      <c r="E78" s="338"/>
      <c r="F78" s="120"/>
      <c r="G78" s="120"/>
      <c r="H78" s="120"/>
      <c r="I78" s="120"/>
      <c r="J78" s="120"/>
      <c r="K78" s="120"/>
      <c r="L78" s="120"/>
      <c r="M78" s="120"/>
      <c r="N78" s="148"/>
    </row>
    <row r="79" spans="1:14">
      <c r="A79" s="142"/>
      <c r="B79" s="120"/>
      <c r="C79" s="120"/>
      <c r="D79" s="120"/>
      <c r="E79" s="120"/>
      <c r="F79" s="338"/>
      <c r="G79" s="120"/>
      <c r="H79" s="338"/>
      <c r="I79" s="120"/>
      <c r="J79" s="120"/>
      <c r="K79" s="120"/>
      <c r="L79" s="120"/>
      <c r="M79" s="120"/>
    </row>
    <row r="80" spans="1:14">
      <c r="A80" s="142"/>
      <c r="B80" s="120"/>
      <c r="C80" s="120"/>
      <c r="D80" s="120"/>
      <c r="E80" s="338"/>
      <c r="F80" s="338"/>
      <c r="G80" s="120"/>
      <c r="H80" s="120"/>
      <c r="I80" s="120"/>
      <c r="J80" s="120"/>
      <c r="K80" s="120"/>
      <c r="L80" s="120"/>
      <c r="M80" s="120"/>
    </row>
    <row r="81" spans="1:13">
      <c r="A81" s="142"/>
      <c r="B81" s="120"/>
      <c r="C81" s="120"/>
      <c r="D81" s="120"/>
      <c r="E81" s="338"/>
      <c r="F81" s="338"/>
      <c r="G81" s="120"/>
      <c r="H81" s="120"/>
      <c r="I81" s="120"/>
      <c r="J81" s="120"/>
      <c r="K81" s="120"/>
      <c r="L81" s="120"/>
      <c r="M81" s="120"/>
    </row>
    <row r="82" spans="1:13">
      <c r="A82" s="142"/>
      <c r="B82" s="120"/>
      <c r="C82" s="120"/>
      <c r="D82" s="120"/>
      <c r="E82" s="120"/>
      <c r="F82" s="338"/>
      <c r="G82" s="120"/>
      <c r="H82" s="120"/>
      <c r="I82" s="120"/>
      <c r="J82" s="120"/>
      <c r="K82" s="120"/>
      <c r="L82" s="120"/>
      <c r="M82" s="120"/>
    </row>
    <row r="83" spans="1:13">
      <c r="A83" s="659"/>
      <c r="B83" s="120"/>
      <c r="C83" s="120"/>
      <c r="D83" s="120"/>
      <c r="E83" s="120"/>
      <c r="F83" s="120"/>
      <c r="G83" s="120"/>
      <c r="H83" s="120"/>
      <c r="I83" s="120"/>
      <c r="J83" s="120"/>
      <c r="K83" s="120"/>
      <c r="L83" s="120"/>
      <c r="M83" s="120"/>
    </row>
    <row r="84" spans="1:13">
      <c r="A84" s="656"/>
      <c r="B84" s="200"/>
      <c r="C84" s="200"/>
      <c r="D84" s="200"/>
      <c r="E84" s="200"/>
      <c r="F84" s="200"/>
      <c r="G84" s="200"/>
      <c r="H84" s="200"/>
      <c r="I84" s="200"/>
      <c r="J84" s="200"/>
      <c r="K84" s="200"/>
      <c r="L84" s="200"/>
      <c r="M84" s="200"/>
    </row>
    <row r="85" spans="1:13">
      <c r="A85" s="142"/>
      <c r="B85" s="120"/>
      <c r="C85" s="120"/>
      <c r="D85" s="120"/>
      <c r="E85" s="338"/>
      <c r="F85" s="120"/>
      <c r="G85" s="120"/>
      <c r="H85" s="120"/>
      <c r="I85" s="120"/>
      <c r="J85" s="120"/>
      <c r="K85" s="120"/>
      <c r="L85" s="120"/>
      <c r="M85" s="120"/>
    </row>
    <row r="86" spans="1:13">
      <c r="A86" s="142"/>
      <c r="B86" s="120"/>
      <c r="C86" s="120"/>
      <c r="D86" s="120"/>
      <c r="E86" s="120"/>
      <c r="F86" s="338"/>
      <c r="G86" s="120"/>
      <c r="H86" s="338"/>
      <c r="I86" s="120"/>
      <c r="J86" s="120"/>
      <c r="K86" s="120"/>
      <c r="L86" s="120"/>
      <c r="M86" s="120"/>
    </row>
    <row r="87" spans="1:13">
      <c r="A87" s="142"/>
      <c r="B87" s="120"/>
      <c r="C87" s="120"/>
      <c r="D87" s="120"/>
      <c r="E87" s="120"/>
      <c r="F87" s="338"/>
      <c r="G87" s="120"/>
      <c r="H87" s="338"/>
      <c r="I87" s="120"/>
      <c r="J87" s="120"/>
      <c r="K87" s="120"/>
      <c r="L87" s="120"/>
      <c r="M87" s="120"/>
    </row>
    <row r="88" spans="1:13">
      <c r="A88" s="142"/>
      <c r="B88" s="120"/>
      <c r="C88" s="120"/>
      <c r="D88" s="120"/>
      <c r="E88" s="120"/>
      <c r="F88" s="338"/>
      <c r="G88" s="120"/>
      <c r="H88" s="120"/>
      <c r="I88" s="120"/>
      <c r="J88" s="120"/>
      <c r="K88" s="120"/>
      <c r="L88" s="120"/>
      <c r="M88" s="120"/>
    </row>
    <row r="89" spans="1:13">
      <c r="A89" s="142"/>
      <c r="B89" s="120"/>
      <c r="C89" s="120"/>
      <c r="D89" s="120"/>
      <c r="E89" s="120"/>
      <c r="F89" s="338"/>
      <c r="G89" s="120"/>
      <c r="H89" s="120"/>
      <c r="I89" s="120"/>
      <c r="J89" s="120"/>
      <c r="K89" s="120"/>
      <c r="L89" s="120"/>
      <c r="M89" s="120"/>
    </row>
    <row r="90" spans="1:13">
      <c r="A90" s="659"/>
      <c r="B90" s="120"/>
      <c r="C90" s="120"/>
      <c r="D90" s="120"/>
      <c r="E90" s="120"/>
      <c r="F90" s="120"/>
      <c r="G90" s="120"/>
      <c r="H90" s="120"/>
      <c r="I90" s="120"/>
      <c r="J90" s="120"/>
      <c r="K90" s="120"/>
      <c r="L90" s="120"/>
      <c r="M90" s="120"/>
    </row>
    <row r="91" spans="1:13">
      <c r="A91" s="656"/>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8"/>
      <c r="G93" s="120"/>
      <c r="H93" s="120"/>
      <c r="I93" s="120"/>
      <c r="J93" s="120"/>
      <c r="K93" s="120"/>
      <c r="L93" s="120"/>
      <c r="M93" s="120"/>
    </row>
    <row r="94" spans="1:13">
      <c r="A94" s="142"/>
      <c r="B94" s="120"/>
      <c r="C94" s="120"/>
      <c r="D94" s="120"/>
      <c r="E94" s="120"/>
      <c r="F94" s="120"/>
      <c r="G94" s="120"/>
      <c r="H94" s="338"/>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8"/>
      <c r="F96" s="338"/>
      <c r="G96" s="120"/>
      <c r="H96" s="120"/>
      <c r="I96" s="120"/>
      <c r="J96" s="120"/>
      <c r="K96" s="120"/>
      <c r="L96" s="120"/>
      <c r="M96" s="120"/>
    </row>
    <row r="97" spans="1:13">
      <c r="A97" s="142"/>
      <c r="B97" s="120"/>
      <c r="C97" s="120"/>
      <c r="D97" s="120"/>
      <c r="E97" s="338"/>
      <c r="F97" s="338"/>
      <c r="G97" s="120"/>
      <c r="H97" s="120"/>
      <c r="I97" s="120"/>
      <c r="J97" s="120"/>
      <c r="K97" s="120"/>
      <c r="L97" s="120"/>
      <c r="M97" s="120"/>
    </row>
    <row r="98" spans="1:13">
      <c r="A98" s="142"/>
      <c r="B98" s="120"/>
      <c r="C98" s="120"/>
      <c r="D98" s="120"/>
      <c r="E98" s="120"/>
      <c r="F98" s="338"/>
      <c r="G98" s="120"/>
      <c r="H98" s="120"/>
      <c r="I98" s="120"/>
      <c r="J98" s="120"/>
      <c r="K98" s="120"/>
      <c r="L98" s="120"/>
      <c r="M98" s="120"/>
    </row>
    <row r="99" spans="1:13">
      <c r="A99" s="142"/>
      <c r="B99" s="120"/>
      <c r="C99" s="120"/>
      <c r="D99" s="120"/>
      <c r="E99" s="120"/>
      <c r="F99" s="120"/>
      <c r="G99" s="120"/>
      <c r="H99" s="338"/>
      <c r="I99" s="120"/>
      <c r="J99" s="120"/>
      <c r="K99" s="120"/>
      <c r="L99" s="120"/>
      <c r="M99" s="120"/>
    </row>
    <row r="100" spans="1:13">
      <c r="A100" s="142"/>
      <c r="B100" s="120"/>
      <c r="C100" s="120"/>
      <c r="D100" s="120"/>
      <c r="E100" s="338"/>
      <c r="F100" s="120"/>
      <c r="G100" s="120"/>
      <c r="H100" s="120"/>
      <c r="I100" s="120"/>
      <c r="J100" s="120"/>
      <c r="K100" s="120"/>
      <c r="L100" s="120"/>
      <c r="M100" s="120"/>
    </row>
    <row r="101" spans="1:13">
      <c r="A101" s="142"/>
      <c r="B101" s="120"/>
      <c r="C101" s="120"/>
      <c r="D101" s="120"/>
      <c r="E101" s="338"/>
      <c r="F101" s="338"/>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6"/>
      <c r="B103" s="200"/>
      <c r="C103" s="200"/>
      <c r="D103" s="200"/>
      <c r="E103" s="200"/>
      <c r="F103" s="200"/>
      <c r="G103" s="200"/>
      <c r="H103" s="200"/>
      <c r="I103" s="200"/>
      <c r="J103" s="200"/>
      <c r="K103" s="200"/>
      <c r="L103" s="200"/>
      <c r="M103" s="200"/>
    </row>
    <row r="104" spans="1:13">
      <c r="A104" s="142"/>
      <c r="B104" s="120"/>
      <c r="C104" s="120"/>
      <c r="D104" s="120"/>
      <c r="E104" s="338"/>
      <c r="F104" s="120"/>
      <c r="G104" s="120"/>
      <c r="H104" s="120"/>
      <c r="I104" s="120"/>
      <c r="J104" s="120"/>
      <c r="K104" s="120"/>
      <c r="L104" s="120"/>
      <c r="M104" s="120"/>
    </row>
    <row r="105" spans="1:13">
      <c r="A105" s="142"/>
      <c r="B105" s="120"/>
      <c r="C105" s="120"/>
      <c r="D105" s="120"/>
      <c r="E105" s="120"/>
      <c r="F105" s="338"/>
      <c r="G105" s="120"/>
      <c r="H105" s="120"/>
      <c r="I105" s="120"/>
      <c r="J105" s="120"/>
      <c r="K105" s="120"/>
      <c r="L105" s="120"/>
      <c r="M105" s="120"/>
    </row>
    <row r="106" spans="1:13">
      <c r="A106" s="142"/>
      <c r="B106" s="120"/>
      <c r="C106" s="120"/>
      <c r="D106" s="120"/>
      <c r="E106" s="120"/>
      <c r="F106" s="120"/>
      <c r="G106" s="120"/>
      <c r="H106" s="338"/>
      <c r="I106" s="120"/>
      <c r="J106" s="120"/>
      <c r="K106" s="120"/>
      <c r="L106" s="120"/>
      <c r="M106" s="120"/>
    </row>
    <row r="107" spans="1:13">
      <c r="A107" s="142"/>
      <c r="B107" s="120"/>
      <c r="C107" s="120"/>
      <c r="D107" s="120"/>
      <c r="E107" s="338"/>
      <c r="F107" s="120"/>
      <c r="G107" s="120"/>
      <c r="H107" s="120"/>
      <c r="I107" s="120"/>
      <c r="J107" s="120"/>
      <c r="K107" s="120"/>
      <c r="L107" s="120"/>
      <c r="M107" s="120"/>
    </row>
    <row r="108" spans="1:13">
      <c r="A108" s="142"/>
      <c r="B108" s="120"/>
      <c r="C108" s="120"/>
      <c r="D108" s="120"/>
      <c r="E108" s="120"/>
      <c r="F108" s="338"/>
      <c r="G108" s="120"/>
      <c r="H108" s="120"/>
      <c r="I108" s="120"/>
      <c r="J108" s="120"/>
      <c r="K108" s="120"/>
      <c r="L108" s="120"/>
      <c r="M108" s="120"/>
    </row>
    <row r="109" spans="1:13">
      <c r="A109" s="142"/>
      <c r="B109" s="120"/>
      <c r="C109" s="120"/>
      <c r="D109" s="120"/>
      <c r="E109" s="120"/>
      <c r="F109" s="338"/>
      <c r="G109" s="120"/>
      <c r="H109" s="120"/>
      <c r="I109" s="120"/>
      <c r="J109" s="120"/>
      <c r="K109" s="120"/>
      <c r="L109" s="120"/>
      <c r="M109" s="120"/>
    </row>
    <row r="110" spans="1:13">
      <c r="A110" s="142"/>
      <c r="B110" s="120"/>
      <c r="C110" s="120"/>
      <c r="D110" s="120"/>
      <c r="E110" s="338"/>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8"/>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60"/>
  </cols>
  <sheetData>
    <row r="1" spans="1:12">
      <c r="A1" s="660">
        <v>29044</v>
      </c>
      <c r="B1" s="660" t="s">
        <v>462</v>
      </c>
      <c r="C1" s="660">
        <v>3003</v>
      </c>
      <c r="D1" s="660" t="s">
        <v>465</v>
      </c>
      <c r="E1" s="660">
        <v>24061</v>
      </c>
      <c r="F1" s="660" t="s">
        <v>303</v>
      </c>
      <c r="G1" s="660">
        <v>0</v>
      </c>
      <c r="H1" s="660" t="s">
        <v>1689</v>
      </c>
      <c r="J1" s="660" t="s">
        <v>1689</v>
      </c>
      <c r="K1" s="660">
        <v>25894</v>
      </c>
      <c r="L1" s="660" t="s">
        <v>293</v>
      </c>
    </row>
    <row r="2" spans="1:12">
      <c r="A2" s="660">
        <v>34679</v>
      </c>
      <c r="B2" s="660" t="s">
        <v>2029</v>
      </c>
      <c r="C2" s="660">
        <v>0</v>
      </c>
      <c r="D2" s="660" t="s">
        <v>1689</v>
      </c>
      <c r="E2" s="660">
        <v>0</v>
      </c>
      <c r="F2" s="660" t="s">
        <v>1689</v>
      </c>
      <c r="G2" s="660">
        <v>0</v>
      </c>
      <c r="H2" s="660" t="s">
        <v>1689</v>
      </c>
      <c r="I2" s="660">
        <v>0</v>
      </c>
      <c r="J2" s="660" t="s">
        <v>1689</v>
      </c>
    </row>
    <row r="3" spans="1:12">
      <c r="A3" s="660">
        <v>28755</v>
      </c>
      <c r="B3" s="660" t="s">
        <v>1445</v>
      </c>
      <c r="C3" s="660">
        <v>2996</v>
      </c>
      <c r="D3" s="660" t="s">
        <v>1409</v>
      </c>
      <c r="E3" s="660">
        <v>24061</v>
      </c>
      <c r="F3" s="660" t="s">
        <v>303</v>
      </c>
      <c r="G3" s="660">
        <v>24051</v>
      </c>
      <c r="H3" s="660" t="s">
        <v>1983</v>
      </c>
      <c r="I3" s="660">
        <v>0</v>
      </c>
      <c r="J3" s="660" t="s">
        <v>1689</v>
      </c>
    </row>
    <row r="4" spans="1:12">
      <c r="A4" s="660">
        <v>11840</v>
      </c>
      <c r="B4" s="660" t="s">
        <v>1689</v>
      </c>
      <c r="C4" s="660">
        <v>0</v>
      </c>
      <c r="D4" s="660" t="s">
        <v>1689</v>
      </c>
      <c r="E4" s="660">
        <v>0</v>
      </c>
      <c r="F4" s="660" t="s">
        <v>1689</v>
      </c>
      <c r="G4" s="660">
        <v>0</v>
      </c>
      <c r="H4" s="660" t="s">
        <v>1689</v>
      </c>
      <c r="I4" s="660">
        <v>0</v>
      </c>
      <c r="J4" s="660" t="s">
        <v>1689</v>
      </c>
    </row>
    <row r="5" spans="1:12">
      <c r="A5" s="660">
        <v>25831</v>
      </c>
      <c r="B5" s="660" t="s">
        <v>816</v>
      </c>
      <c r="C5" s="660">
        <v>0</v>
      </c>
      <c r="D5" s="660" t="s">
        <v>1689</v>
      </c>
      <c r="E5" s="660">
        <v>24061</v>
      </c>
      <c r="F5" s="660" t="s">
        <v>303</v>
      </c>
      <c r="G5" s="660">
        <v>24061</v>
      </c>
      <c r="H5" s="660" t="s">
        <v>303</v>
      </c>
      <c r="I5" s="660">
        <v>24051</v>
      </c>
      <c r="J5" s="660" t="s">
        <v>1983</v>
      </c>
    </row>
    <row r="6" spans="1:12">
      <c r="A6" s="660">
        <v>28750</v>
      </c>
      <c r="B6" s="660" t="s">
        <v>1523</v>
      </c>
      <c r="C6" s="660">
        <v>0</v>
      </c>
      <c r="D6" s="660" t="s">
        <v>1689</v>
      </c>
      <c r="E6" s="660">
        <v>24061</v>
      </c>
      <c r="F6" s="660" t="s">
        <v>303</v>
      </c>
      <c r="G6" s="660">
        <v>24061</v>
      </c>
      <c r="H6" s="660" t="s">
        <v>303</v>
      </c>
      <c r="I6" s="660">
        <v>0</v>
      </c>
      <c r="J6" s="660" t="s">
        <v>1689</v>
      </c>
    </row>
    <row r="7" spans="1:12">
      <c r="A7" s="660">
        <v>29046</v>
      </c>
      <c r="B7" s="660" t="s">
        <v>483</v>
      </c>
      <c r="C7" s="660">
        <v>3010</v>
      </c>
      <c r="D7" s="660" t="s">
        <v>1414</v>
      </c>
      <c r="E7" s="660">
        <v>0</v>
      </c>
      <c r="F7" s="660" t="s">
        <v>1689</v>
      </c>
      <c r="G7" s="660">
        <v>0</v>
      </c>
      <c r="H7" s="660" t="s">
        <v>1689</v>
      </c>
      <c r="I7" s="660">
        <v>0</v>
      </c>
      <c r="J7" s="660" t="s">
        <v>1689</v>
      </c>
    </row>
    <row r="8" spans="1:12">
      <c r="A8" s="660">
        <v>28545</v>
      </c>
      <c r="B8" s="660" t="s">
        <v>255</v>
      </c>
      <c r="C8" s="660">
        <v>2657</v>
      </c>
      <c r="D8" s="660" t="s">
        <v>257</v>
      </c>
      <c r="E8" s="660">
        <v>24061</v>
      </c>
      <c r="F8" s="660" t="s">
        <v>303</v>
      </c>
      <c r="G8" s="660">
        <v>24051</v>
      </c>
      <c r="H8" s="660" t="s">
        <v>1983</v>
      </c>
      <c r="I8" s="660">
        <v>0</v>
      </c>
      <c r="J8" s="660" t="s">
        <v>1689</v>
      </c>
    </row>
    <row r="9" spans="1:12">
      <c r="A9" s="660">
        <v>29966</v>
      </c>
      <c r="B9" s="660" t="s">
        <v>1305</v>
      </c>
      <c r="C9" s="660">
        <v>1593</v>
      </c>
      <c r="D9" s="660" t="s">
        <v>1271</v>
      </c>
      <c r="E9" s="660">
        <v>31863</v>
      </c>
      <c r="F9" s="660" t="s">
        <v>2286</v>
      </c>
      <c r="G9" s="660">
        <v>0</v>
      </c>
      <c r="H9" s="660" t="s">
        <v>1689</v>
      </c>
      <c r="I9" s="660">
        <v>0</v>
      </c>
      <c r="J9" s="660" t="s">
        <v>1689</v>
      </c>
    </row>
    <row r="10" spans="1:12">
      <c r="A10" s="660">
        <v>33539</v>
      </c>
      <c r="B10" s="660" t="s">
        <v>1434</v>
      </c>
      <c r="C10" s="660">
        <v>2564</v>
      </c>
      <c r="D10" s="660" t="s">
        <v>2077</v>
      </c>
      <c r="E10" s="660">
        <v>0</v>
      </c>
      <c r="F10" s="660" t="s">
        <v>1689</v>
      </c>
      <c r="G10" s="660">
        <v>0</v>
      </c>
      <c r="H10" s="660" t="s">
        <v>1689</v>
      </c>
      <c r="I10" s="660">
        <v>0</v>
      </c>
      <c r="J10" s="660" t="s">
        <v>1689</v>
      </c>
    </row>
    <row r="11" spans="1:12">
      <c r="A11" s="660">
        <v>33919</v>
      </c>
      <c r="B11" s="660" t="s">
        <v>159</v>
      </c>
      <c r="C11" s="660">
        <v>0</v>
      </c>
      <c r="D11" s="660" t="s">
        <v>1689</v>
      </c>
      <c r="E11" s="660">
        <v>0</v>
      </c>
      <c r="F11" s="660" t="s">
        <v>1689</v>
      </c>
      <c r="G11" s="660">
        <v>0</v>
      </c>
      <c r="H11" s="660" t="s">
        <v>1689</v>
      </c>
      <c r="I11" s="660">
        <v>0</v>
      </c>
      <c r="J11" s="660" t="s">
        <v>1689</v>
      </c>
    </row>
    <row r="12" spans="1:12">
      <c r="A12" s="660">
        <v>33057</v>
      </c>
      <c r="B12" s="660" t="s">
        <v>2471</v>
      </c>
      <c r="C12" s="660">
        <v>0</v>
      </c>
      <c r="D12" s="660" t="s">
        <v>1689</v>
      </c>
      <c r="E12" s="660">
        <v>0</v>
      </c>
      <c r="F12" s="660" t="s">
        <v>1689</v>
      </c>
      <c r="G12" s="660">
        <v>0</v>
      </c>
      <c r="H12" s="660" t="s">
        <v>1689</v>
      </c>
      <c r="I12" s="660">
        <v>0</v>
      </c>
      <c r="J12" s="660" t="s">
        <v>1689</v>
      </c>
    </row>
    <row r="13" spans="1:12">
      <c r="A13" s="660">
        <v>28041</v>
      </c>
      <c r="B13" s="660" t="s">
        <v>184</v>
      </c>
      <c r="C13" s="660">
        <v>0</v>
      </c>
      <c r="D13" s="660" t="s">
        <v>1689</v>
      </c>
      <c r="E13" s="660">
        <v>0</v>
      </c>
      <c r="F13" s="660" t="s">
        <v>1689</v>
      </c>
      <c r="G13" s="660">
        <v>0</v>
      </c>
      <c r="H13" s="660" t="s">
        <v>1689</v>
      </c>
      <c r="I13" s="660">
        <v>0</v>
      </c>
      <c r="J13" s="660" t="s">
        <v>1689</v>
      </c>
    </row>
    <row r="14" spans="1:12">
      <c r="A14" s="660">
        <v>34472</v>
      </c>
      <c r="B14" s="660" t="s">
        <v>991</v>
      </c>
      <c r="C14" s="660">
        <v>0</v>
      </c>
      <c r="D14" s="660" t="s">
        <v>1689</v>
      </c>
      <c r="E14" s="660">
        <v>0</v>
      </c>
      <c r="F14" s="660" t="s">
        <v>1689</v>
      </c>
      <c r="G14" s="660">
        <v>0</v>
      </c>
      <c r="H14" s="660" t="s">
        <v>1689</v>
      </c>
      <c r="I14" s="660">
        <v>0</v>
      </c>
      <c r="J14" s="660" t="s">
        <v>1689</v>
      </c>
    </row>
    <row r="15" spans="1:12">
      <c r="A15" s="660">
        <v>27519</v>
      </c>
      <c r="B15" s="660" t="s">
        <v>1413</v>
      </c>
      <c r="C15" s="660">
        <v>0</v>
      </c>
      <c r="D15" s="660" t="s">
        <v>1689</v>
      </c>
      <c r="E15" s="660">
        <v>0</v>
      </c>
      <c r="F15" s="660" t="s">
        <v>1689</v>
      </c>
      <c r="G15" s="660">
        <v>0</v>
      </c>
      <c r="H15" s="660" t="s">
        <v>1689</v>
      </c>
      <c r="I15" s="660">
        <v>0</v>
      </c>
      <c r="J15" s="660" t="s">
        <v>1689</v>
      </c>
    </row>
    <row r="16" spans="1:12">
      <c r="A16" s="660">
        <v>28295</v>
      </c>
      <c r="B16" s="660" t="s">
        <v>1385</v>
      </c>
      <c r="C16" s="660">
        <v>2673</v>
      </c>
      <c r="D16" s="660" t="s">
        <v>1229</v>
      </c>
      <c r="E16" s="660">
        <v>0</v>
      </c>
      <c r="F16" s="660" t="s">
        <v>1689</v>
      </c>
      <c r="G16" s="660">
        <v>0</v>
      </c>
      <c r="H16" s="660" t="s">
        <v>1689</v>
      </c>
      <c r="I16" s="660">
        <v>0</v>
      </c>
      <c r="J16" s="660" t="s">
        <v>1689</v>
      </c>
    </row>
    <row r="17" spans="1:10">
      <c r="A17" s="660">
        <v>32027</v>
      </c>
      <c r="B17" s="660" t="s">
        <v>522</v>
      </c>
      <c r="C17" s="660">
        <v>2673</v>
      </c>
      <c r="D17" s="660" t="s">
        <v>1229</v>
      </c>
      <c r="E17" s="660">
        <v>0</v>
      </c>
      <c r="F17" s="660" t="s">
        <v>1689</v>
      </c>
      <c r="G17" s="660">
        <v>0</v>
      </c>
      <c r="H17" s="660" t="s">
        <v>1689</v>
      </c>
      <c r="I17" s="660">
        <v>0</v>
      </c>
      <c r="J17" s="660" t="s">
        <v>1689</v>
      </c>
    </row>
    <row r="18" spans="1:10">
      <c r="A18" s="660">
        <v>28826</v>
      </c>
      <c r="B18" s="660" t="s">
        <v>1151</v>
      </c>
      <c r="C18" s="660">
        <v>0</v>
      </c>
      <c r="D18" s="660" t="s">
        <v>1689</v>
      </c>
      <c r="E18" s="660">
        <v>0</v>
      </c>
      <c r="F18" s="660" t="s">
        <v>1689</v>
      </c>
      <c r="G18" s="660">
        <v>0</v>
      </c>
      <c r="H18" s="660" t="s">
        <v>1689</v>
      </c>
      <c r="I18" s="660">
        <v>0</v>
      </c>
      <c r="J18" s="660" t="s">
        <v>1689</v>
      </c>
    </row>
    <row r="19" spans="1:10">
      <c r="A19" s="660">
        <v>35221</v>
      </c>
      <c r="B19" s="660" t="s">
        <v>1689</v>
      </c>
      <c r="C19" s="660">
        <v>0</v>
      </c>
      <c r="D19" s="660" t="s">
        <v>1689</v>
      </c>
      <c r="E19" s="660">
        <v>0</v>
      </c>
      <c r="F19" s="660" t="s">
        <v>1689</v>
      </c>
      <c r="G19" s="660">
        <v>0</v>
      </c>
      <c r="H19" s="660" t="s">
        <v>1689</v>
      </c>
      <c r="I19" s="660">
        <v>0</v>
      </c>
      <c r="J19" s="660" t="s">
        <v>1689</v>
      </c>
    </row>
    <row r="20" spans="1:10">
      <c r="B20" s="660" t="s">
        <v>1689</v>
      </c>
      <c r="D20" s="660" t="s">
        <v>1689</v>
      </c>
      <c r="F20" s="660" t="s">
        <v>1689</v>
      </c>
      <c r="H20" s="660" t="s">
        <v>1689</v>
      </c>
      <c r="J20" s="660" t="s">
        <v>1689</v>
      </c>
    </row>
    <row r="21" spans="1:10">
      <c r="B21" s="660" t="s">
        <v>1689</v>
      </c>
      <c r="D21" s="660" t="s">
        <v>1689</v>
      </c>
      <c r="F21" s="660" t="s">
        <v>1689</v>
      </c>
      <c r="H21" s="660" t="s">
        <v>1689</v>
      </c>
      <c r="J21" s="660" t="s">
        <v>1689</v>
      </c>
    </row>
    <row r="23" spans="1:10">
      <c r="A23" s="661" t="s">
        <v>2472</v>
      </c>
    </row>
    <row r="24" spans="1:10">
      <c r="A24" s="660"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4">
        <v>28362</v>
      </c>
      <c r="B2" s="662" t="s">
        <v>1694</v>
      </c>
      <c r="C2" s="6" t="b">
        <v>0</v>
      </c>
      <c r="D2" s="6">
        <v>2</v>
      </c>
    </row>
    <row r="3" spans="1:4">
      <c r="A3" s="254">
        <v>28595</v>
      </c>
      <c r="B3" s="662" t="s">
        <v>1695</v>
      </c>
      <c r="C3" s="6" t="b">
        <v>0</v>
      </c>
      <c r="D3" s="6">
        <v>3</v>
      </c>
    </row>
    <row r="4" spans="1:4">
      <c r="A4" s="254">
        <v>32197</v>
      </c>
      <c r="B4" s="662" t="s">
        <v>1696</v>
      </c>
      <c r="C4" s="6" t="b">
        <v>0</v>
      </c>
      <c r="D4" s="6">
        <v>4</v>
      </c>
    </row>
    <row r="5" spans="1:4">
      <c r="A5" s="254">
        <v>35487</v>
      </c>
      <c r="B5" s="662" t="s">
        <v>809</v>
      </c>
      <c r="C5" s="6" t="b">
        <v>0</v>
      </c>
      <c r="D5" s="6">
        <v>5</v>
      </c>
    </row>
    <row r="6" spans="1:4">
      <c r="A6" s="254">
        <v>24031</v>
      </c>
      <c r="B6" s="662" t="s">
        <v>1697</v>
      </c>
      <c r="C6" s="6" t="b">
        <v>0</v>
      </c>
      <c r="D6" s="6">
        <v>6</v>
      </c>
    </row>
    <row r="7" spans="1:4">
      <c r="A7" s="254">
        <v>33131</v>
      </c>
      <c r="B7" s="662" t="s">
        <v>1622</v>
      </c>
      <c r="C7" s="6" t="b">
        <v>0</v>
      </c>
      <c r="D7" s="6">
        <v>7</v>
      </c>
    </row>
    <row r="8" spans="1:4">
      <c r="A8" s="254">
        <v>23097</v>
      </c>
      <c r="B8" s="662" t="s">
        <v>1698</v>
      </c>
      <c r="C8" s="6" t="b">
        <v>0</v>
      </c>
      <c r="D8" s="6">
        <v>8</v>
      </c>
    </row>
    <row r="9" spans="1:4">
      <c r="A9" s="254">
        <v>32194</v>
      </c>
      <c r="B9" s="662" t="s">
        <v>1922</v>
      </c>
      <c r="C9" s="6" t="b">
        <v>0</v>
      </c>
      <c r="D9" s="6">
        <v>9</v>
      </c>
    </row>
    <row r="10" spans="1:4">
      <c r="A10" s="254">
        <v>24028</v>
      </c>
      <c r="B10" s="662" t="s">
        <v>1923</v>
      </c>
      <c r="C10" s="6" t="b">
        <v>0</v>
      </c>
      <c r="D10" s="6">
        <v>10</v>
      </c>
    </row>
    <row r="11" spans="1:4">
      <c r="A11" s="254">
        <v>32199</v>
      </c>
      <c r="B11" s="662" t="s">
        <v>86</v>
      </c>
      <c r="C11" s="6" t="b">
        <v>1</v>
      </c>
      <c r="D11" s="6">
        <v>11</v>
      </c>
    </row>
    <row r="12" spans="1:4">
      <c r="A12" s="254">
        <v>24036</v>
      </c>
      <c r="B12" s="662" t="s">
        <v>87</v>
      </c>
      <c r="C12" s="6" t="b">
        <v>1</v>
      </c>
      <c r="D12" s="6">
        <v>12</v>
      </c>
    </row>
    <row r="13" spans="1:4">
      <c r="A13" s="254">
        <v>28360</v>
      </c>
      <c r="B13" s="662" t="s">
        <v>1208</v>
      </c>
      <c r="C13" s="6" t="b">
        <v>0</v>
      </c>
      <c r="D13" s="6">
        <v>13</v>
      </c>
    </row>
    <row r="14" spans="1:4">
      <c r="A14" s="254">
        <v>28361</v>
      </c>
      <c r="B14" s="662" t="s">
        <v>604</v>
      </c>
      <c r="C14" s="6" t="b">
        <v>0</v>
      </c>
      <c r="D14" s="6">
        <v>14</v>
      </c>
    </row>
    <row r="15" spans="1:4">
      <c r="A15" s="254">
        <v>32198</v>
      </c>
      <c r="B15" s="662" t="s">
        <v>454</v>
      </c>
      <c r="C15" s="6" t="b">
        <v>1</v>
      </c>
      <c r="D15" s="6">
        <v>15</v>
      </c>
    </row>
    <row r="16" spans="1:4">
      <c r="A16" s="254">
        <v>24032</v>
      </c>
      <c r="B16" s="662" t="s">
        <v>455</v>
      </c>
      <c r="C16" s="6" t="b">
        <v>1</v>
      </c>
      <c r="D16" s="6">
        <v>16</v>
      </c>
    </row>
    <row r="17" spans="1:4">
      <c r="A17" s="259">
        <v>31863</v>
      </c>
      <c r="B17" s="663" t="s">
        <v>2286</v>
      </c>
      <c r="C17" s="6" t="b">
        <v>0</v>
      </c>
      <c r="D17" s="6">
        <v>19</v>
      </c>
    </row>
    <row r="18" spans="1:4">
      <c r="A18" s="259">
        <v>31862</v>
      </c>
      <c r="B18" s="663" t="s">
        <v>1496</v>
      </c>
      <c r="C18" s="6" t="b">
        <v>0</v>
      </c>
      <c r="D18" s="6">
        <v>20</v>
      </c>
    </row>
    <row r="19" spans="1:4">
      <c r="A19" s="259">
        <v>32213</v>
      </c>
      <c r="B19" s="663" t="s">
        <v>1718</v>
      </c>
      <c r="C19" s="6" t="b">
        <v>0</v>
      </c>
      <c r="D19" s="6">
        <v>21</v>
      </c>
    </row>
    <row r="20" spans="1:4">
      <c r="A20" s="259">
        <v>30574</v>
      </c>
      <c r="B20" s="663" t="s">
        <v>2287</v>
      </c>
      <c r="C20" s="6" t="b">
        <v>0</v>
      </c>
      <c r="D20" s="6">
        <v>22</v>
      </c>
    </row>
    <row r="21" spans="1:4">
      <c r="A21" s="259">
        <v>30566</v>
      </c>
      <c r="B21" s="663" t="s">
        <v>88</v>
      </c>
      <c r="C21" s="6" t="b">
        <v>1</v>
      </c>
      <c r="D21" s="6">
        <v>23</v>
      </c>
    </row>
    <row r="22" spans="1:4">
      <c r="A22" s="259">
        <v>31118</v>
      </c>
      <c r="B22" s="663" t="s">
        <v>2288</v>
      </c>
      <c r="C22" s="6" t="b">
        <v>0</v>
      </c>
      <c r="D22" s="6">
        <v>24</v>
      </c>
    </row>
    <row r="23" spans="1:4">
      <c r="A23" s="259">
        <v>30563</v>
      </c>
      <c r="B23" s="663" t="s">
        <v>81</v>
      </c>
      <c r="C23" s="6" t="b">
        <v>1</v>
      </c>
      <c r="D23" s="6">
        <v>25</v>
      </c>
    </row>
    <row r="24" spans="1:4">
      <c r="A24" s="259">
        <v>30563</v>
      </c>
      <c r="B24" s="663" t="s">
        <v>2289</v>
      </c>
      <c r="C24" s="6" t="b">
        <v>1</v>
      </c>
      <c r="D24" s="6">
        <v>26</v>
      </c>
    </row>
    <row r="25" spans="1:4">
      <c r="A25" s="259">
        <v>24055</v>
      </c>
      <c r="B25" s="663" t="s">
        <v>1979</v>
      </c>
      <c r="C25" s="6" t="b">
        <v>0</v>
      </c>
      <c r="D25" s="6">
        <v>27</v>
      </c>
    </row>
    <row r="26" spans="1:4">
      <c r="A26" s="259">
        <v>23110</v>
      </c>
      <c r="B26" s="663" t="s">
        <v>1980</v>
      </c>
      <c r="C26" s="6" t="b">
        <v>0</v>
      </c>
      <c r="D26" s="6">
        <v>28</v>
      </c>
    </row>
    <row r="27" spans="1:4">
      <c r="A27" s="259">
        <v>32212</v>
      </c>
      <c r="B27" s="663" t="s">
        <v>1981</v>
      </c>
      <c r="C27" s="6" t="b">
        <v>0</v>
      </c>
      <c r="D27" s="6">
        <v>29</v>
      </c>
    </row>
    <row r="28" spans="1:4">
      <c r="A28" s="259">
        <v>30549</v>
      </c>
      <c r="B28" s="663" t="s">
        <v>1350</v>
      </c>
      <c r="C28" s="6" t="b">
        <v>0</v>
      </c>
      <c r="D28" s="6">
        <v>30</v>
      </c>
    </row>
    <row r="29" spans="1:4">
      <c r="A29" s="259">
        <v>30546</v>
      </c>
      <c r="B29" s="663" t="s">
        <v>80</v>
      </c>
      <c r="C29" s="6" t="b">
        <v>0</v>
      </c>
      <c r="D29" s="6">
        <v>31</v>
      </c>
    </row>
    <row r="30" spans="1:4">
      <c r="A30" s="259">
        <v>32634</v>
      </c>
      <c r="B30" s="663" t="s">
        <v>1498</v>
      </c>
      <c r="C30" s="6" t="b">
        <v>0</v>
      </c>
      <c r="D30" s="6">
        <v>32</v>
      </c>
    </row>
    <row r="31" spans="1:4">
      <c r="A31" s="264">
        <v>34256</v>
      </c>
      <c r="B31" s="664" t="s">
        <v>1495</v>
      </c>
      <c r="C31" s="6" t="b">
        <v>1</v>
      </c>
      <c r="D31" s="6">
        <v>35</v>
      </c>
    </row>
    <row r="32" spans="1:4">
      <c r="A32" s="264">
        <v>34831</v>
      </c>
      <c r="B32" s="664" t="s">
        <v>84</v>
      </c>
      <c r="C32" s="6" t="b">
        <v>1</v>
      </c>
      <c r="D32" s="6">
        <v>36</v>
      </c>
    </row>
    <row r="33" spans="1:4">
      <c r="A33" s="264">
        <v>33135</v>
      </c>
      <c r="B33" s="664" t="s">
        <v>456</v>
      </c>
      <c r="C33" s="6" t="b">
        <v>1</v>
      </c>
      <c r="D33" s="6">
        <v>37</v>
      </c>
    </row>
    <row r="34" spans="1:4">
      <c r="A34" s="264">
        <v>23118</v>
      </c>
      <c r="B34" s="664" t="s">
        <v>457</v>
      </c>
      <c r="C34" s="6" t="b">
        <v>1</v>
      </c>
      <c r="D34" s="6">
        <v>38</v>
      </c>
    </row>
    <row r="35" spans="1:4">
      <c r="A35" s="264">
        <v>32200</v>
      </c>
      <c r="B35" s="664" t="s">
        <v>1709</v>
      </c>
      <c r="C35" s="6" t="b">
        <v>1</v>
      </c>
      <c r="D35" s="6">
        <v>39</v>
      </c>
    </row>
    <row r="36" spans="1:4">
      <c r="A36" s="264">
        <v>24033</v>
      </c>
      <c r="B36" s="664" t="s">
        <v>1710</v>
      </c>
      <c r="C36" s="6" t="b">
        <v>1</v>
      </c>
      <c r="D36" s="6">
        <v>40</v>
      </c>
    </row>
    <row r="37" spans="1:4">
      <c r="A37" s="269">
        <v>27786</v>
      </c>
      <c r="B37" s="665" t="s">
        <v>605</v>
      </c>
      <c r="C37" s="6" t="b">
        <v>0</v>
      </c>
      <c r="D37" s="6">
        <v>43</v>
      </c>
    </row>
    <row r="38" spans="1:4">
      <c r="A38" s="269">
        <v>27809</v>
      </c>
      <c r="B38" s="665" t="s">
        <v>1493</v>
      </c>
      <c r="C38" s="6" t="b">
        <v>0</v>
      </c>
      <c r="D38" s="6">
        <v>44</v>
      </c>
    </row>
    <row r="39" spans="1:4">
      <c r="A39" s="269">
        <v>30590</v>
      </c>
      <c r="B39" s="665" t="s">
        <v>89</v>
      </c>
      <c r="C39" s="6" t="b">
        <v>1</v>
      </c>
      <c r="D39" s="6">
        <v>45</v>
      </c>
    </row>
    <row r="40" spans="1:4">
      <c r="A40" s="269">
        <v>23105</v>
      </c>
      <c r="B40" s="665" t="s">
        <v>1864</v>
      </c>
      <c r="C40" s="6" t="b">
        <v>1</v>
      </c>
      <c r="D40" s="6">
        <v>46</v>
      </c>
    </row>
    <row r="41" spans="1:4">
      <c r="A41" s="269">
        <v>32223</v>
      </c>
      <c r="B41" s="665" t="s">
        <v>1858</v>
      </c>
      <c r="C41" s="6" t="b">
        <v>1</v>
      </c>
      <c r="D41" s="6">
        <v>47</v>
      </c>
    </row>
    <row r="42" spans="1:4">
      <c r="A42" s="269">
        <v>24062</v>
      </c>
      <c r="B42" s="665" t="s">
        <v>1863</v>
      </c>
      <c r="C42" s="6" t="b">
        <v>1</v>
      </c>
      <c r="D42" s="6">
        <v>48</v>
      </c>
    </row>
    <row r="43" spans="1:4">
      <c r="A43" s="269">
        <v>30602</v>
      </c>
      <c r="B43" s="665" t="s">
        <v>1711</v>
      </c>
      <c r="C43" s="6" t="b">
        <v>0</v>
      </c>
      <c r="D43" s="6">
        <v>49</v>
      </c>
    </row>
    <row r="44" spans="1:4">
      <c r="A44" s="269">
        <v>23104</v>
      </c>
      <c r="B44" s="665" t="s">
        <v>1712</v>
      </c>
      <c r="C44" s="6" t="b">
        <v>0</v>
      </c>
      <c r="D44" s="6">
        <v>50</v>
      </c>
    </row>
    <row r="45" spans="1:4">
      <c r="A45" s="269">
        <v>32226</v>
      </c>
      <c r="B45" s="665" t="s">
        <v>1713</v>
      </c>
      <c r="C45" s="6" t="b">
        <v>0</v>
      </c>
      <c r="D45" s="6">
        <v>51</v>
      </c>
    </row>
    <row r="46" spans="1:4">
      <c r="A46" s="269">
        <v>24067</v>
      </c>
      <c r="B46" s="665" t="s">
        <v>1714</v>
      </c>
      <c r="C46" s="6" t="b">
        <v>0</v>
      </c>
      <c r="D46" s="6">
        <v>52</v>
      </c>
    </row>
    <row r="47" spans="1:4">
      <c r="A47" s="269">
        <v>30592</v>
      </c>
      <c r="B47" s="665" t="s">
        <v>1715</v>
      </c>
      <c r="C47" s="6" t="b">
        <v>1</v>
      </c>
      <c r="D47" s="6">
        <v>53</v>
      </c>
    </row>
    <row r="48" spans="1:4">
      <c r="A48" s="269">
        <v>35758</v>
      </c>
      <c r="B48" s="665" t="s">
        <v>1859</v>
      </c>
      <c r="C48" s="6" t="b">
        <v>1</v>
      </c>
      <c r="D48" s="6">
        <v>54</v>
      </c>
    </row>
    <row r="49" spans="1:4">
      <c r="A49" s="269">
        <v>33782</v>
      </c>
      <c r="B49" s="665" t="s">
        <v>1499</v>
      </c>
      <c r="C49" s="6" t="b">
        <v>1</v>
      </c>
      <c r="D49" s="6">
        <v>55</v>
      </c>
    </row>
    <row r="50" spans="1:4">
      <c r="A50" s="274">
        <v>33144</v>
      </c>
      <c r="B50" s="666" t="s">
        <v>1867</v>
      </c>
      <c r="C50" s="6" t="b">
        <v>1</v>
      </c>
      <c r="D50" s="6">
        <v>58</v>
      </c>
    </row>
    <row r="51" spans="1:4">
      <c r="A51" s="274">
        <v>24053</v>
      </c>
      <c r="B51" s="666" t="s">
        <v>1500</v>
      </c>
      <c r="C51" s="6" t="b">
        <v>1</v>
      </c>
      <c r="D51" s="6">
        <v>59</v>
      </c>
    </row>
    <row r="52" spans="1:4">
      <c r="A52" s="274">
        <v>32209</v>
      </c>
      <c r="B52" s="666" t="s">
        <v>1982</v>
      </c>
      <c r="C52" s="6" t="b">
        <v>1</v>
      </c>
      <c r="D52" s="6">
        <v>60</v>
      </c>
    </row>
    <row r="53" spans="1:4">
      <c r="A53" s="274">
        <v>24051</v>
      </c>
      <c r="B53" s="666" t="s">
        <v>1983</v>
      </c>
      <c r="C53" s="6" t="b">
        <v>0</v>
      </c>
      <c r="D53" s="6">
        <v>61</v>
      </c>
    </row>
    <row r="54" spans="1:4">
      <c r="A54" s="274">
        <v>23116</v>
      </c>
      <c r="B54" s="666" t="s">
        <v>1984</v>
      </c>
      <c r="C54" s="6" t="b">
        <v>0</v>
      </c>
      <c r="D54" s="6">
        <v>62</v>
      </c>
    </row>
    <row r="55" spans="1:4">
      <c r="A55" s="274">
        <v>32206</v>
      </c>
      <c r="B55" s="666" t="s">
        <v>1985</v>
      </c>
      <c r="C55" s="6" t="b">
        <v>0</v>
      </c>
      <c r="D55" s="6">
        <v>63</v>
      </c>
    </row>
    <row r="56" spans="1:4">
      <c r="A56" s="274">
        <v>24048</v>
      </c>
      <c r="B56" s="666" t="s">
        <v>559</v>
      </c>
      <c r="C56" s="6" t="b">
        <v>0</v>
      </c>
      <c r="D56" s="6">
        <v>64</v>
      </c>
    </row>
    <row r="57" spans="1:4">
      <c r="A57" s="274">
        <v>28290</v>
      </c>
      <c r="B57" s="666" t="s">
        <v>560</v>
      </c>
      <c r="C57" s="6" t="b">
        <v>0</v>
      </c>
      <c r="D57" s="6">
        <v>65</v>
      </c>
    </row>
    <row r="58" spans="1:4">
      <c r="A58" s="274">
        <v>32205</v>
      </c>
      <c r="B58" s="666" t="s">
        <v>2043</v>
      </c>
      <c r="C58" s="6" t="b">
        <v>0</v>
      </c>
      <c r="D58" s="6">
        <v>66</v>
      </c>
    </row>
    <row r="59" spans="1:4">
      <c r="A59" s="274">
        <v>28119</v>
      </c>
      <c r="B59" s="666" t="s">
        <v>1419</v>
      </c>
      <c r="C59" s="6" t="b">
        <v>0</v>
      </c>
      <c r="D59" s="6">
        <v>67</v>
      </c>
    </row>
    <row r="60" spans="1:4">
      <c r="A60" s="274">
        <v>33143</v>
      </c>
      <c r="B60" s="666" t="s">
        <v>1667</v>
      </c>
      <c r="C60" s="6" t="b">
        <v>0</v>
      </c>
      <c r="D60" s="6">
        <v>68</v>
      </c>
    </row>
    <row r="61" spans="1:4">
      <c r="A61" s="274">
        <v>27679</v>
      </c>
      <c r="B61" s="666" t="s">
        <v>1420</v>
      </c>
      <c r="C61" s="6" t="b">
        <v>1</v>
      </c>
      <c r="D61" s="6">
        <v>69</v>
      </c>
    </row>
    <row r="62" spans="1:4">
      <c r="A62" s="274">
        <v>24052</v>
      </c>
      <c r="B62" s="666" t="s">
        <v>1872</v>
      </c>
      <c r="C62" s="6" t="b">
        <v>1</v>
      </c>
      <c r="D62" s="6">
        <v>70</v>
      </c>
    </row>
    <row r="63" spans="1:4">
      <c r="A63" s="274">
        <v>23115</v>
      </c>
      <c r="B63" s="666" t="s">
        <v>1873</v>
      </c>
      <c r="C63" s="6" t="b">
        <v>1</v>
      </c>
      <c r="D63" s="6">
        <v>71</v>
      </c>
    </row>
    <row r="64" spans="1:4">
      <c r="A64" s="274">
        <v>32208</v>
      </c>
      <c r="B64" s="666" t="s">
        <v>1869</v>
      </c>
      <c r="C64" s="6" t="b">
        <v>1</v>
      </c>
      <c r="D64" s="6">
        <v>72</v>
      </c>
    </row>
    <row r="65" spans="1:4">
      <c r="A65" s="279">
        <v>30565</v>
      </c>
      <c r="B65" s="667" t="s">
        <v>296</v>
      </c>
      <c r="C65" s="6" t="b">
        <v>0</v>
      </c>
      <c r="D65" s="6">
        <v>75</v>
      </c>
    </row>
    <row r="66" spans="1:4">
      <c r="A66" s="279">
        <v>30601</v>
      </c>
      <c r="B66" s="667" t="s">
        <v>1876</v>
      </c>
      <c r="C66" s="6" t="b">
        <v>1</v>
      </c>
      <c r="D66" s="6">
        <v>76</v>
      </c>
    </row>
    <row r="67" spans="1:4">
      <c r="A67" s="279">
        <v>30587</v>
      </c>
      <c r="B67" s="667" t="s">
        <v>1877</v>
      </c>
      <c r="C67" s="6" t="b">
        <v>0</v>
      </c>
      <c r="D67" s="6">
        <v>77</v>
      </c>
    </row>
    <row r="68" spans="1:4">
      <c r="A68" s="279">
        <v>30582</v>
      </c>
      <c r="B68" s="667" t="s">
        <v>297</v>
      </c>
      <c r="C68" s="6" t="b">
        <v>0</v>
      </c>
      <c r="D68" s="6">
        <v>78</v>
      </c>
    </row>
    <row r="69" spans="1:4">
      <c r="A69" s="279">
        <v>30591</v>
      </c>
      <c r="B69" s="667" t="s">
        <v>298</v>
      </c>
      <c r="C69" s="6" t="b">
        <v>0</v>
      </c>
      <c r="D69" s="6">
        <v>79</v>
      </c>
    </row>
    <row r="70" spans="1:4">
      <c r="A70" s="279">
        <v>30584</v>
      </c>
      <c r="B70" s="667" t="s">
        <v>299</v>
      </c>
      <c r="C70" s="6" t="b">
        <v>0</v>
      </c>
      <c r="D70" s="6">
        <v>80</v>
      </c>
    </row>
    <row r="71" spans="1:4">
      <c r="A71" s="279">
        <v>30559</v>
      </c>
      <c r="B71" s="667" t="s">
        <v>300</v>
      </c>
      <c r="C71" s="6" t="b">
        <v>0</v>
      </c>
      <c r="D71" s="6">
        <v>81</v>
      </c>
    </row>
    <row r="72" spans="1:4">
      <c r="A72" s="279">
        <v>30558</v>
      </c>
      <c r="B72" s="667" t="s">
        <v>1878</v>
      </c>
      <c r="C72" s="6" t="b">
        <v>1</v>
      </c>
      <c r="D72" s="6">
        <v>82</v>
      </c>
    </row>
    <row r="73" spans="1:4">
      <c r="A73" s="279">
        <v>30556</v>
      </c>
      <c r="B73" s="667" t="s">
        <v>301</v>
      </c>
      <c r="C73" s="6" t="b">
        <v>0</v>
      </c>
      <c r="D73" s="6">
        <v>83</v>
      </c>
    </row>
    <row r="74" spans="1:4">
      <c r="A74" s="279">
        <v>23100</v>
      </c>
      <c r="B74" s="667" t="s">
        <v>302</v>
      </c>
      <c r="C74" s="6" t="b">
        <v>0</v>
      </c>
      <c r="D74" s="6">
        <v>84</v>
      </c>
    </row>
    <row r="75" spans="1:4">
      <c r="A75" s="279">
        <v>24061</v>
      </c>
      <c r="B75" s="667" t="s">
        <v>303</v>
      </c>
      <c r="C75" s="6" t="b">
        <v>0</v>
      </c>
      <c r="D75" s="6">
        <v>85</v>
      </c>
    </row>
    <row r="76" spans="1:4">
      <c r="A76" s="279">
        <v>32220</v>
      </c>
      <c r="B76" s="667" t="s">
        <v>304</v>
      </c>
      <c r="C76" s="6" t="b">
        <v>0</v>
      </c>
      <c r="D76" s="6">
        <v>86</v>
      </c>
    </row>
    <row r="77" spans="1:4">
      <c r="A77" s="279">
        <v>30585</v>
      </c>
      <c r="B77" s="667" t="s">
        <v>1879</v>
      </c>
      <c r="C77" s="6" t="b">
        <v>0</v>
      </c>
      <c r="D77" s="6">
        <v>87</v>
      </c>
    </row>
    <row r="78" spans="1:4">
      <c r="A78" s="279">
        <v>23098</v>
      </c>
      <c r="B78" s="667" t="s">
        <v>1680</v>
      </c>
      <c r="C78" s="6" t="b">
        <v>0</v>
      </c>
      <c r="D78" s="6">
        <v>88</v>
      </c>
    </row>
    <row r="79" spans="1:4">
      <c r="A79" s="279">
        <v>24058</v>
      </c>
      <c r="B79" s="667" t="s">
        <v>1681</v>
      </c>
      <c r="C79" s="6" t="b">
        <v>0</v>
      </c>
      <c r="D79" s="6">
        <v>89</v>
      </c>
    </row>
    <row r="80" spans="1:4">
      <c r="A80" s="279">
        <v>28363</v>
      </c>
      <c r="B80" s="667" t="s">
        <v>1682</v>
      </c>
      <c r="C80" s="6" t="b">
        <v>0</v>
      </c>
      <c r="D80" s="6">
        <v>90</v>
      </c>
    </row>
    <row r="81" spans="1:4">
      <c r="A81" s="279">
        <v>32217</v>
      </c>
      <c r="B81" s="667" t="s">
        <v>1683</v>
      </c>
      <c r="C81" s="6" t="b">
        <v>0</v>
      </c>
      <c r="D81" s="6">
        <v>91</v>
      </c>
    </row>
    <row r="82" spans="1:4">
      <c r="A82" s="279">
        <v>30575</v>
      </c>
      <c r="B82" s="667" t="s">
        <v>1684</v>
      </c>
      <c r="C82" s="6" t="b">
        <v>0</v>
      </c>
      <c r="D82" s="6">
        <v>92</v>
      </c>
    </row>
    <row r="83" spans="1:4">
      <c r="A83" s="279">
        <v>30553</v>
      </c>
      <c r="B83" s="667" t="s">
        <v>1685</v>
      </c>
      <c r="C83" s="6" t="b">
        <v>0</v>
      </c>
      <c r="D83" s="6">
        <v>93</v>
      </c>
    </row>
    <row r="84" spans="1:4">
      <c r="A84" s="279">
        <v>30604</v>
      </c>
      <c r="B84" s="667" t="s">
        <v>1259</v>
      </c>
      <c r="C84" s="6" t="b">
        <v>0</v>
      </c>
      <c r="D84" s="6">
        <v>94</v>
      </c>
    </row>
    <row r="85" spans="1:4">
      <c r="A85" s="279">
        <v>30607</v>
      </c>
      <c r="B85" s="667" t="s">
        <v>1552</v>
      </c>
      <c r="C85" s="6" t="b">
        <v>1</v>
      </c>
      <c r="D85" s="6">
        <v>95</v>
      </c>
    </row>
    <row r="86" spans="1:4">
      <c r="A86" s="279">
        <v>30554</v>
      </c>
      <c r="B86" s="667" t="s">
        <v>1553</v>
      </c>
      <c r="C86" s="6" t="b">
        <v>1</v>
      </c>
      <c r="D86" s="6">
        <v>96</v>
      </c>
    </row>
    <row r="87" spans="1:4">
      <c r="A87" s="279">
        <v>32637</v>
      </c>
      <c r="B87" s="667" t="s">
        <v>1501</v>
      </c>
      <c r="C87" s="6" t="b">
        <v>0</v>
      </c>
      <c r="D87" s="6">
        <v>97</v>
      </c>
    </row>
    <row r="88" spans="1:4">
      <c r="A88" s="279">
        <v>31869</v>
      </c>
      <c r="B88" s="667" t="s">
        <v>1502</v>
      </c>
      <c r="C88" s="6" t="b">
        <v>0</v>
      </c>
      <c r="D88" s="6">
        <v>98</v>
      </c>
    </row>
    <row r="89" spans="1:4">
      <c r="A89" s="279">
        <v>31868</v>
      </c>
      <c r="B89" s="667" t="s">
        <v>2072</v>
      </c>
      <c r="C89" s="6" t="b">
        <v>0</v>
      </c>
      <c r="D89" s="6">
        <v>99</v>
      </c>
    </row>
    <row r="90" spans="1:4">
      <c r="A90" s="279">
        <v>32222</v>
      </c>
      <c r="B90" s="667" t="s">
        <v>2073</v>
      </c>
      <c r="C90" s="6" t="b">
        <v>0</v>
      </c>
      <c r="D90" s="6">
        <v>100</v>
      </c>
    </row>
    <row r="91" spans="1:4">
      <c r="A91" s="213"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2">
        <v>35033</v>
      </c>
      <c r="B100" s="234" t="s">
        <v>1484</v>
      </c>
    </row>
    <row r="101" spans="1:4">
      <c r="A101" s="232">
        <v>29502</v>
      </c>
      <c r="B101" s="234" t="s">
        <v>1049</v>
      </c>
    </row>
    <row r="102" spans="1:4">
      <c r="A102" s="232">
        <v>32088</v>
      </c>
      <c r="B102" s="234" t="s">
        <v>2473</v>
      </c>
    </row>
    <row r="103" spans="1:4">
      <c r="A103" s="232">
        <v>28732</v>
      </c>
      <c r="B103" s="234" t="s">
        <v>1050</v>
      </c>
    </row>
    <row r="104" spans="1:4">
      <c r="A104" s="319">
        <v>28206</v>
      </c>
      <c r="B104" s="318" t="s">
        <v>2474</v>
      </c>
    </row>
    <row r="105" spans="1:4">
      <c r="A105" s="232">
        <v>32235</v>
      </c>
      <c r="B105" s="234" t="s">
        <v>2249</v>
      </c>
    </row>
    <row r="106" spans="1:4">
      <c r="A106" s="319">
        <v>27415</v>
      </c>
      <c r="B106" s="318" t="s">
        <v>1053</v>
      </c>
    </row>
    <row r="107" spans="1:4">
      <c r="A107" s="232">
        <v>32478</v>
      </c>
      <c r="B107" s="233" t="s">
        <v>1054</v>
      </c>
    </row>
    <row r="108" spans="1:4">
      <c r="A108" s="239">
        <v>30146</v>
      </c>
      <c r="B108" s="231" t="s">
        <v>1057</v>
      </c>
    </row>
    <row r="109" spans="1:4">
      <c r="A109" s="232">
        <v>34244</v>
      </c>
      <c r="B109" s="234" t="s">
        <v>965</v>
      </c>
    </row>
    <row r="110" spans="1:4">
      <c r="A110" s="319">
        <v>28561</v>
      </c>
      <c r="B110" s="318" t="s">
        <v>2475</v>
      </c>
    </row>
    <row r="111" spans="1:4">
      <c r="A111" s="239">
        <v>25830</v>
      </c>
      <c r="B111" s="231" t="s">
        <v>1067</v>
      </c>
    </row>
    <row r="112" spans="1:4">
      <c r="A112" s="319">
        <v>28685</v>
      </c>
      <c r="B112" s="320" t="s">
        <v>2476</v>
      </c>
    </row>
    <row r="113" spans="1:2">
      <c r="A113" s="239">
        <v>33479</v>
      </c>
      <c r="B113" s="231" t="s">
        <v>548</v>
      </c>
    </row>
    <row r="114" spans="1:2">
      <c r="A114" s="319">
        <v>28414</v>
      </c>
      <c r="B114" s="318" t="s">
        <v>1071</v>
      </c>
    </row>
    <row r="115" spans="1:2">
      <c r="A115" s="319">
        <v>28182</v>
      </c>
      <c r="B115" s="318" t="s">
        <v>1073</v>
      </c>
    </row>
    <row r="116" spans="1:2">
      <c r="A116" s="319">
        <v>28837</v>
      </c>
      <c r="B116" s="320" t="s">
        <v>2477</v>
      </c>
    </row>
    <row r="117" spans="1:2">
      <c r="A117" s="319">
        <v>23763</v>
      </c>
      <c r="B117" s="320" t="s">
        <v>2478</v>
      </c>
    </row>
    <row r="118" spans="1:2">
      <c r="A118" s="239">
        <v>28796</v>
      </c>
      <c r="B118" s="231" t="s">
        <v>1074</v>
      </c>
    </row>
    <row r="119" spans="1:2">
      <c r="A119" s="239">
        <v>32087</v>
      </c>
      <c r="B119" s="231" t="s">
        <v>1075</v>
      </c>
    </row>
    <row r="120" spans="1:2">
      <c r="A120" s="239">
        <v>34404</v>
      </c>
      <c r="B120" s="231" t="s">
        <v>1211</v>
      </c>
    </row>
    <row r="121" spans="1:2">
      <c r="A121" s="319">
        <v>31281</v>
      </c>
      <c r="B121" s="318" t="s">
        <v>1076</v>
      </c>
    </row>
    <row r="122" spans="1:2">
      <c r="A122" s="239">
        <v>31999</v>
      </c>
      <c r="B122" s="231" t="s">
        <v>1077</v>
      </c>
    </row>
    <row r="123" spans="1:2">
      <c r="A123" s="239">
        <v>29044</v>
      </c>
      <c r="B123" s="240" t="s">
        <v>462</v>
      </c>
    </row>
    <row r="124" spans="1:2">
      <c r="A124" s="319">
        <v>35367</v>
      </c>
      <c r="B124" s="320" t="s">
        <v>705</v>
      </c>
    </row>
    <row r="125" spans="1:2">
      <c r="A125" s="239">
        <v>34353</v>
      </c>
      <c r="B125" s="240" t="s">
        <v>980</v>
      </c>
    </row>
    <row r="126" spans="1:2">
      <c r="A126" s="319">
        <v>27938</v>
      </c>
      <c r="B126" s="318" t="s">
        <v>1079</v>
      </c>
    </row>
    <row r="127" spans="1:2">
      <c r="A127" s="232">
        <v>31027</v>
      </c>
      <c r="B127" s="234" t="s">
        <v>998</v>
      </c>
    </row>
    <row r="128" spans="1:2">
      <c r="A128" s="319">
        <v>31109</v>
      </c>
      <c r="B128" s="318" t="s">
        <v>1000</v>
      </c>
    </row>
    <row r="129" spans="1:2">
      <c r="A129" s="319">
        <v>25680</v>
      </c>
      <c r="B129" s="318" t="s">
        <v>2479</v>
      </c>
    </row>
    <row r="130" spans="1:2">
      <c r="A130" s="319">
        <v>29332</v>
      </c>
      <c r="B130" s="318" t="s">
        <v>2480</v>
      </c>
    </row>
    <row r="131" spans="1:2">
      <c r="A131" s="239">
        <v>31333</v>
      </c>
      <c r="B131" s="231" t="s">
        <v>1002</v>
      </c>
    </row>
    <row r="132" spans="1:2">
      <c r="A132" s="239">
        <v>33701</v>
      </c>
      <c r="B132" s="231" t="s">
        <v>1525</v>
      </c>
    </row>
    <row r="133" spans="1:2">
      <c r="A133" s="319">
        <v>28224</v>
      </c>
      <c r="B133" s="318" t="s">
        <v>1003</v>
      </c>
    </row>
    <row r="134" spans="1:2" ht="22.5">
      <c r="A134" s="213" t="s">
        <v>1934</v>
      </c>
      <c r="B134" s="212" t="s">
        <v>1005</v>
      </c>
    </row>
    <row r="135" spans="1:2">
      <c r="A135" s="215">
        <v>2585</v>
      </c>
      <c r="B135" s="214" t="s">
        <v>1006</v>
      </c>
    </row>
    <row r="136" spans="1:2">
      <c r="A136" s="215">
        <v>3003</v>
      </c>
      <c r="B136" s="214" t="s">
        <v>465</v>
      </c>
    </row>
    <row r="137" spans="1:2">
      <c r="A137" s="215">
        <v>2999</v>
      </c>
      <c r="B137" s="214" t="s">
        <v>2158</v>
      </c>
    </row>
    <row r="138" spans="1:2">
      <c r="A138" s="215">
        <v>2841</v>
      </c>
      <c r="B138" s="214" t="s">
        <v>2212</v>
      </c>
    </row>
    <row r="139" spans="1:2">
      <c r="A139" s="215">
        <v>2543</v>
      </c>
      <c r="B139" s="214" t="s">
        <v>1104</v>
      </c>
    </row>
    <row r="140" spans="1:2">
      <c r="A140" s="215">
        <v>1508</v>
      </c>
      <c r="B140" s="214" t="s">
        <v>1105</v>
      </c>
    </row>
    <row r="141" spans="1:2">
      <c r="A141" s="215">
        <v>27779</v>
      </c>
      <c r="B141" s="214" t="s">
        <v>1106</v>
      </c>
    </row>
    <row r="142" spans="1:2">
      <c r="A142" s="215">
        <v>24114</v>
      </c>
      <c r="B142" s="214" t="s">
        <v>1107</v>
      </c>
    </row>
    <row r="143" spans="1:2">
      <c r="A143" s="215">
        <v>24114</v>
      </c>
      <c r="B143" s="214" t="s">
        <v>2481</v>
      </c>
    </row>
    <row r="144" spans="1:2">
      <c r="A144" s="215">
        <v>33296</v>
      </c>
      <c r="B144" s="216" t="s">
        <v>860</v>
      </c>
    </row>
    <row r="145" spans="1:2">
      <c r="A145" s="215">
        <v>30059</v>
      </c>
      <c r="B145" s="216" t="s">
        <v>1108</v>
      </c>
    </row>
    <row r="146" spans="1:2">
      <c r="A146" s="215">
        <v>32260</v>
      </c>
      <c r="B146" s="214" t="s">
        <v>1110</v>
      </c>
    </row>
    <row r="147" spans="1:2">
      <c r="A147" s="215">
        <v>32591</v>
      </c>
      <c r="B147" s="214" t="s">
        <v>1019</v>
      </c>
    </row>
    <row r="148" spans="1:2">
      <c r="A148" s="215">
        <v>29381</v>
      </c>
      <c r="B148" s="214" t="s">
        <v>657</v>
      </c>
    </row>
    <row r="149" spans="1:2">
      <c r="A149" s="232">
        <v>34177</v>
      </c>
      <c r="B149" s="234" t="s">
        <v>2027</v>
      </c>
    </row>
    <row r="150" spans="1:2">
      <c r="A150" s="232">
        <v>34178</v>
      </c>
      <c r="B150" s="234" t="s">
        <v>2028</v>
      </c>
    </row>
    <row r="151" spans="1:2">
      <c r="A151" s="215">
        <v>25562</v>
      </c>
      <c r="B151" s="214" t="s">
        <v>1020</v>
      </c>
    </row>
    <row r="152" spans="1:2">
      <c r="A152" s="215">
        <v>35135</v>
      </c>
      <c r="B152" s="214" t="s">
        <v>1992</v>
      </c>
    </row>
    <row r="153" spans="1:2">
      <c r="A153" s="232">
        <v>34358</v>
      </c>
      <c r="B153" s="234" t="s">
        <v>978</v>
      </c>
    </row>
    <row r="154" spans="1:2">
      <c r="A154" s="215">
        <v>28168</v>
      </c>
      <c r="B154" s="214" t="s">
        <v>2482</v>
      </c>
    </row>
    <row r="155" spans="1:2">
      <c r="A155" s="215">
        <v>31695</v>
      </c>
      <c r="B155" s="214" t="s">
        <v>1021</v>
      </c>
    </row>
    <row r="156" spans="1:2">
      <c r="A156" s="215">
        <v>32508</v>
      </c>
      <c r="B156" s="214" t="s">
        <v>2483</v>
      </c>
    </row>
    <row r="157" spans="1:2">
      <c r="A157" s="215">
        <v>28244</v>
      </c>
      <c r="B157" s="214" t="s">
        <v>2484</v>
      </c>
    </row>
    <row r="158" spans="1:2">
      <c r="A158" s="215">
        <v>19377</v>
      </c>
      <c r="B158" s="214" t="s">
        <v>1023</v>
      </c>
    </row>
    <row r="159" spans="1:2">
      <c r="A159" s="215">
        <v>28674</v>
      </c>
      <c r="B159" s="214" t="s">
        <v>2485</v>
      </c>
    </row>
    <row r="160" spans="1:2">
      <c r="A160" s="232">
        <v>34679</v>
      </c>
      <c r="B160" s="234" t="s">
        <v>2029</v>
      </c>
    </row>
    <row r="161" spans="1:2">
      <c r="A161" s="232">
        <v>34679</v>
      </c>
      <c r="B161" s="234" t="s">
        <v>2030</v>
      </c>
    </row>
    <row r="162" spans="1:2">
      <c r="A162" s="232">
        <v>34680</v>
      </c>
      <c r="B162" s="234" t="s">
        <v>2486</v>
      </c>
    </row>
    <row r="163" spans="1:2">
      <c r="A163" s="232">
        <v>34680</v>
      </c>
      <c r="B163" s="234" t="s">
        <v>2031</v>
      </c>
    </row>
    <row r="164" spans="1:2">
      <c r="A164" s="215">
        <v>29335</v>
      </c>
      <c r="B164" s="214" t="s">
        <v>2487</v>
      </c>
    </row>
    <row r="165" spans="1:2">
      <c r="A165" s="215">
        <v>30017</v>
      </c>
      <c r="B165" s="214" t="s">
        <v>690</v>
      </c>
    </row>
    <row r="166" spans="1:2">
      <c r="A166" s="215">
        <v>33297</v>
      </c>
      <c r="B166" s="214" t="s">
        <v>277</v>
      </c>
    </row>
    <row r="167" spans="1:2">
      <c r="A167" s="215">
        <v>27546</v>
      </c>
      <c r="B167" s="214" t="s">
        <v>2488</v>
      </c>
    </row>
    <row r="168" spans="1:2">
      <c r="A168" s="215">
        <v>33066</v>
      </c>
      <c r="B168" s="214" t="s">
        <v>2489</v>
      </c>
    </row>
    <row r="169" spans="1:2">
      <c r="A169" s="215">
        <v>33923</v>
      </c>
      <c r="B169" s="214" t="s">
        <v>158</v>
      </c>
    </row>
    <row r="170" spans="1:2">
      <c r="A170" s="215">
        <v>28509</v>
      </c>
      <c r="B170" s="216" t="s">
        <v>1339</v>
      </c>
    </row>
    <row r="171" spans="1:2">
      <c r="A171" s="215">
        <v>29148</v>
      </c>
      <c r="B171" s="214" t="s">
        <v>1569</v>
      </c>
    </row>
    <row r="172" spans="1:2">
      <c r="A172" s="215">
        <v>28755</v>
      </c>
      <c r="B172" s="214" t="s">
        <v>1445</v>
      </c>
    </row>
    <row r="173" spans="1:2">
      <c r="A173" s="215">
        <v>35035</v>
      </c>
      <c r="B173" s="214" t="s">
        <v>1487</v>
      </c>
    </row>
    <row r="174" spans="1:2">
      <c r="A174" s="215">
        <v>30149</v>
      </c>
      <c r="B174" s="214" t="s">
        <v>1448</v>
      </c>
    </row>
    <row r="175" spans="1:2">
      <c r="A175" s="232">
        <v>34392</v>
      </c>
      <c r="B175" s="234" t="s">
        <v>966</v>
      </c>
    </row>
    <row r="176" spans="1:2">
      <c r="A176" s="215">
        <v>25790</v>
      </c>
      <c r="B176" s="214" t="s">
        <v>1450</v>
      </c>
    </row>
    <row r="177" spans="1:2">
      <c r="A177" s="215">
        <v>25832</v>
      </c>
      <c r="B177" s="214" t="s">
        <v>1451</v>
      </c>
    </row>
    <row r="178" spans="1:2">
      <c r="A178" s="215">
        <v>32377</v>
      </c>
      <c r="B178" s="214" t="s">
        <v>1456</v>
      </c>
    </row>
    <row r="179" spans="1:2">
      <c r="A179" s="215">
        <v>27434</v>
      </c>
      <c r="B179" s="214" t="s">
        <v>1453</v>
      </c>
    </row>
    <row r="180" spans="1:2">
      <c r="A180" s="215">
        <v>32001</v>
      </c>
      <c r="B180" s="214" t="s">
        <v>1457</v>
      </c>
    </row>
    <row r="181" spans="1:2">
      <c r="A181" s="215">
        <v>29047</v>
      </c>
      <c r="B181" s="214" t="s">
        <v>1458</v>
      </c>
    </row>
    <row r="182" spans="1:2">
      <c r="A182" s="312">
        <v>35369</v>
      </c>
      <c r="B182" s="311" t="s">
        <v>702</v>
      </c>
    </row>
    <row r="183" spans="1:2">
      <c r="A183" s="215">
        <v>30917</v>
      </c>
      <c r="B183" s="214" t="s">
        <v>1460</v>
      </c>
    </row>
    <row r="184" spans="1:2">
      <c r="A184" s="215">
        <v>27776</v>
      </c>
      <c r="B184" s="214" t="s">
        <v>1461</v>
      </c>
    </row>
    <row r="185" spans="1:2">
      <c r="A185" s="215">
        <v>33300</v>
      </c>
      <c r="B185" s="214" t="s">
        <v>1302</v>
      </c>
    </row>
    <row r="186" spans="1:2">
      <c r="A186" s="232">
        <v>34613</v>
      </c>
      <c r="B186" s="234" t="s">
        <v>1143</v>
      </c>
    </row>
    <row r="187" spans="1:2">
      <c r="A187" s="215">
        <v>30055</v>
      </c>
      <c r="B187" s="214" t="s">
        <v>1462</v>
      </c>
    </row>
    <row r="188" spans="1:2">
      <c r="A188" s="232">
        <v>34195</v>
      </c>
      <c r="B188" s="234" t="s">
        <v>873</v>
      </c>
    </row>
    <row r="189" spans="1:2">
      <c r="A189" s="215">
        <v>31030</v>
      </c>
      <c r="B189" s="214" t="s">
        <v>1464</v>
      </c>
    </row>
    <row r="190" spans="1:2">
      <c r="A190" s="215">
        <v>27995</v>
      </c>
      <c r="B190" s="214" t="s">
        <v>1466</v>
      </c>
    </row>
    <row r="191" spans="1:2">
      <c r="A191" s="215">
        <v>32581</v>
      </c>
      <c r="B191" s="214" t="s">
        <v>661</v>
      </c>
    </row>
    <row r="192" spans="1:2">
      <c r="A192" s="215">
        <v>29147</v>
      </c>
      <c r="B192" s="214" t="s">
        <v>1467</v>
      </c>
    </row>
    <row r="193" spans="1:2">
      <c r="A193" s="215">
        <v>33703</v>
      </c>
      <c r="B193" s="214" t="s">
        <v>1526</v>
      </c>
    </row>
    <row r="194" spans="1:2">
      <c r="A194" s="215">
        <v>27797</v>
      </c>
      <c r="B194" s="214" t="s">
        <v>1015</v>
      </c>
    </row>
    <row r="195" spans="1:2">
      <c r="A195" s="213" t="s">
        <v>1934</v>
      </c>
      <c r="B195" s="217" t="s">
        <v>1016</v>
      </c>
    </row>
    <row r="196" spans="1:2">
      <c r="A196" s="215">
        <v>2997</v>
      </c>
      <c r="B196" s="214" t="s">
        <v>1477</v>
      </c>
    </row>
    <row r="197" spans="1:2">
      <c r="A197" s="215">
        <v>2986</v>
      </c>
      <c r="B197" s="214" t="s">
        <v>663</v>
      </c>
    </row>
    <row r="198" spans="1:2">
      <c r="A198" s="215">
        <v>2978</v>
      </c>
      <c r="B198" s="214" t="s">
        <v>2159</v>
      </c>
    </row>
    <row r="199" spans="1:2">
      <c r="A199" s="215">
        <v>2841</v>
      </c>
      <c r="B199" s="214" t="s">
        <v>2212</v>
      </c>
    </row>
    <row r="200" spans="1:2">
      <c r="A200" s="215">
        <v>2996</v>
      </c>
      <c r="B200" s="214" t="s">
        <v>1409</v>
      </c>
    </row>
    <row r="201" spans="1:2">
      <c r="A201" s="215">
        <v>2983</v>
      </c>
      <c r="B201" s="214" t="s">
        <v>1476</v>
      </c>
    </row>
    <row r="202" spans="1:2">
      <c r="A202" s="215">
        <v>2717</v>
      </c>
      <c r="B202" s="214" t="s">
        <v>1018</v>
      </c>
    </row>
    <row r="203" spans="1:2">
      <c r="A203" s="215">
        <v>2606</v>
      </c>
      <c r="B203" s="214" t="s">
        <v>744</v>
      </c>
    </row>
    <row r="204" spans="1:2">
      <c r="A204" s="215">
        <v>27878</v>
      </c>
      <c r="B204" s="214" t="s">
        <v>1410</v>
      </c>
    </row>
    <row r="205" spans="1:2">
      <c r="A205" s="215">
        <v>30729</v>
      </c>
      <c r="B205" s="214" t="s">
        <v>1411</v>
      </c>
    </row>
    <row r="206" spans="1:2">
      <c r="A206" s="215">
        <v>29382</v>
      </c>
      <c r="B206" s="214" t="s">
        <v>1412</v>
      </c>
    </row>
    <row r="207" spans="1:2">
      <c r="A207" s="215">
        <v>33122</v>
      </c>
      <c r="B207" s="214" t="s">
        <v>1472</v>
      </c>
    </row>
    <row r="208" spans="1:2">
      <c r="A208" s="215">
        <v>33590</v>
      </c>
      <c r="B208" s="214" t="s">
        <v>545</v>
      </c>
    </row>
    <row r="209" spans="1:2">
      <c r="A209" s="215">
        <v>27519</v>
      </c>
      <c r="B209" s="214" t="s">
        <v>1413</v>
      </c>
    </row>
    <row r="210" spans="1:2">
      <c r="A210" s="215">
        <v>34708</v>
      </c>
      <c r="B210" s="214" t="s">
        <v>11</v>
      </c>
    </row>
    <row r="211" spans="1:2">
      <c r="A211" s="215">
        <v>31255</v>
      </c>
      <c r="B211" s="214" t="s">
        <v>884</v>
      </c>
    </row>
    <row r="212" spans="1:2">
      <c r="A212" s="215">
        <v>27892</v>
      </c>
      <c r="B212" s="214" t="s">
        <v>885</v>
      </c>
    </row>
    <row r="213" spans="1:2">
      <c r="A213" s="215">
        <v>28777</v>
      </c>
      <c r="B213" s="214" t="s">
        <v>886</v>
      </c>
    </row>
    <row r="214" spans="1:2">
      <c r="A214" s="215">
        <v>25927</v>
      </c>
      <c r="B214" s="214" t="s">
        <v>887</v>
      </c>
    </row>
    <row r="215" spans="1:2">
      <c r="A215" s="215">
        <v>32665</v>
      </c>
      <c r="B215" s="214" t="s">
        <v>1146</v>
      </c>
    </row>
    <row r="216" spans="1:2">
      <c r="A216" s="215">
        <v>29792</v>
      </c>
      <c r="B216" s="214" t="s">
        <v>1614</v>
      </c>
    </row>
    <row r="217" spans="1:2">
      <c r="A217" s="215">
        <v>28032</v>
      </c>
      <c r="B217" s="214" t="s">
        <v>1615</v>
      </c>
    </row>
    <row r="218" spans="1:2">
      <c r="A218" s="215">
        <v>33484</v>
      </c>
      <c r="B218" s="214" t="s">
        <v>1428</v>
      </c>
    </row>
    <row r="219" spans="1:2">
      <c r="A219" s="215">
        <v>28672</v>
      </c>
      <c r="B219" s="214" t="s">
        <v>1118</v>
      </c>
    </row>
    <row r="220" spans="1:2">
      <c r="A220" s="215">
        <v>28764</v>
      </c>
      <c r="B220" s="214" t="s">
        <v>2490</v>
      </c>
    </row>
    <row r="221" spans="1:2">
      <c r="A221" s="215">
        <v>28371</v>
      </c>
      <c r="B221" s="214" t="s">
        <v>1616</v>
      </c>
    </row>
    <row r="222" spans="1:2">
      <c r="A222" s="215">
        <v>30098</v>
      </c>
      <c r="B222" s="214" t="s">
        <v>1617</v>
      </c>
    </row>
    <row r="223" spans="1:2">
      <c r="A223" s="215">
        <v>28529</v>
      </c>
      <c r="B223" s="214" t="s">
        <v>2491</v>
      </c>
    </row>
    <row r="224" spans="1:2">
      <c r="A224" s="215">
        <v>28377</v>
      </c>
      <c r="B224" s="214" t="s">
        <v>228</v>
      </c>
    </row>
    <row r="225" spans="1:2">
      <c r="A225" s="215">
        <v>28380</v>
      </c>
      <c r="B225" s="214" t="s">
        <v>229</v>
      </c>
    </row>
    <row r="226" spans="1:2">
      <c r="A226" s="215">
        <v>32323</v>
      </c>
      <c r="B226" s="214" t="s">
        <v>1618</v>
      </c>
    </row>
    <row r="227" spans="1:2">
      <c r="A227" s="215">
        <v>33593</v>
      </c>
      <c r="B227" s="214" t="s">
        <v>2160</v>
      </c>
    </row>
    <row r="228" spans="1:2">
      <c r="A228" s="215">
        <v>32540</v>
      </c>
      <c r="B228" s="214" t="s">
        <v>2083</v>
      </c>
    </row>
    <row r="229" spans="1:2">
      <c r="A229" s="215">
        <v>29994</v>
      </c>
      <c r="B229" s="214" t="s">
        <v>2084</v>
      </c>
    </row>
    <row r="230" spans="1:2">
      <c r="A230" s="215">
        <v>24259</v>
      </c>
      <c r="B230" s="214" t="s">
        <v>2085</v>
      </c>
    </row>
    <row r="231" spans="1:2">
      <c r="A231" s="213" t="s">
        <v>1934</v>
      </c>
      <c r="B231" s="217" t="s">
        <v>2086</v>
      </c>
    </row>
    <row r="232" spans="1:2">
      <c r="A232" s="215">
        <v>2622</v>
      </c>
      <c r="B232" s="214" t="s">
        <v>2087</v>
      </c>
    </row>
    <row r="233" spans="1:2">
      <c r="A233" s="215">
        <v>368</v>
      </c>
      <c r="B233" s="214" t="s">
        <v>1121</v>
      </c>
    </row>
    <row r="234" spans="1:2">
      <c r="A234" s="215">
        <v>910</v>
      </c>
      <c r="B234" s="214" t="s">
        <v>2088</v>
      </c>
    </row>
    <row r="235" spans="1:2">
      <c r="A235" s="215">
        <v>2621</v>
      </c>
      <c r="B235" s="214" t="s">
        <v>2089</v>
      </c>
    </row>
    <row r="236" spans="1:2">
      <c r="A236" s="215">
        <v>29340</v>
      </c>
      <c r="B236" s="214" t="s">
        <v>1179</v>
      </c>
    </row>
    <row r="237" spans="1:2">
      <c r="A237" s="232">
        <v>34397</v>
      </c>
      <c r="B237" s="234" t="s">
        <v>967</v>
      </c>
    </row>
    <row r="238" spans="1:2">
      <c r="A238" s="215">
        <v>30101</v>
      </c>
      <c r="B238" s="214" t="s">
        <v>2091</v>
      </c>
    </row>
    <row r="239" spans="1:2">
      <c r="A239" s="215">
        <v>35036</v>
      </c>
      <c r="B239" s="214" t="s">
        <v>1986</v>
      </c>
    </row>
    <row r="240" spans="1:2">
      <c r="A240" s="232">
        <v>34369</v>
      </c>
      <c r="B240" s="234" t="s">
        <v>708</v>
      </c>
    </row>
    <row r="241" spans="1:2">
      <c r="A241" s="215">
        <v>27787</v>
      </c>
      <c r="B241" s="214" t="s">
        <v>2492</v>
      </c>
    </row>
    <row r="242" spans="1:2">
      <c r="A242" s="215">
        <v>28601</v>
      </c>
      <c r="B242" s="214" t="s">
        <v>1125</v>
      </c>
    </row>
    <row r="243" spans="1:2">
      <c r="A243" s="215">
        <v>31295</v>
      </c>
      <c r="B243" s="214" t="s">
        <v>2493</v>
      </c>
    </row>
    <row r="244" spans="1:2">
      <c r="A244" s="215">
        <v>27461</v>
      </c>
      <c r="B244" s="214" t="s">
        <v>955</v>
      </c>
    </row>
    <row r="245" spans="1:2">
      <c r="A245" s="215">
        <v>30144</v>
      </c>
      <c r="B245" s="214" t="s">
        <v>815</v>
      </c>
    </row>
    <row r="246" spans="1:2">
      <c r="A246" s="232">
        <v>34906</v>
      </c>
      <c r="B246" s="234" t="s">
        <v>1885</v>
      </c>
    </row>
    <row r="247" spans="1:2">
      <c r="A247" s="215">
        <v>25831</v>
      </c>
      <c r="B247" s="214" t="s">
        <v>816</v>
      </c>
    </row>
    <row r="248" spans="1:2">
      <c r="A248" s="215">
        <v>28688</v>
      </c>
      <c r="B248" s="214" t="s">
        <v>2494</v>
      </c>
    </row>
    <row r="249" spans="1:2">
      <c r="A249" s="232">
        <v>34211</v>
      </c>
      <c r="B249" s="234" t="s">
        <v>870</v>
      </c>
    </row>
    <row r="250" spans="1:2">
      <c r="A250" s="215">
        <v>30933</v>
      </c>
      <c r="B250" s="214" t="s">
        <v>818</v>
      </c>
    </row>
    <row r="251" spans="1:2">
      <c r="A251" s="215">
        <v>28840</v>
      </c>
      <c r="B251" s="214" t="s">
        <v>2495</v>
      </c>
    </row>
    <row r="252" spans="1:2">
      <c r="A252" s="215">
        <v>28172</v>
      </c>
      <c r="B252" s="214" t="s">
        <v>819</v>
      </c>
    </row>
    <row r="253" spans="1:2">
      <c r="A253" s="215">
        <v>32002</v>
      </c>
      <c r="B253" s="214" t="s">
        <v>821</v>
      </c>
    </row>
    <row r="254" spans="1:2">
      <c r="A254" s="215">
        <v>30905</v>
      </c>
      <c r="B254" s="214" t="s">
        <v>500</v>
      </c>
    </row>
    <row r="255" spans="1:2">
      <c r="A255" s="215">
        <v>32252</v>
      </c>
      <c r="B255" s="214" t="s">
        <v>823</v>
      </c>
    </row>
    <row r="256" spans="1:2">
      <c r="A256" s="215">
        <v>29045</v>
      </c>
      <c r="B256" s="214" t="s">
        <v>822</v>
      </c>
    </row>
    <row r="257" spans="1:2">
      <c r="A257" s="312">
        <v>35370</v>
      </c>
      <c r="B257" s="311" t="s">
        <v>706</v>
      </c>
    </row>
    <row r="258" spans="1:2">
      <c r="A258" s="215">
        <v>29973</v>
      </c>
      <c r="B258" s="214" t="s">
        <v>827</v>
      </c>
    </row>
    <row r="259" spans="1:2">
      <c r="A259" s="215">
        <v>29525</v>
      </c>
      <c r="B259" s="214" t="s">
        <v>825</v>
      </c>
    </row>
    <row r="260" spans="1:2">
      <c r="A260" s="215">
        <v>30328</v>
      </c>
      <c r="B260" s="214" t="s">
        <v>828</v>
      </c>
    </row>
    <row r="261" spans="1:2">
      <c r="A261" s="215">
        <v>33204</v>
      </c>
      <c r="B261" s="214" t="s">
        <v>1471</v>
      </c>
    </row>
    <row r="262" spans="1:2">
      <c r="A262" s="215">
        <v>33329</v>
      </c>
      <c r="B262" s="214" t="s">
        <v>546</v>
      </c>
    </row>
    <row r="263" spans="1:2">
      <c r="A263" s="215">
        <v>31028</v>
      </c>
      <c r="B263" s="214" t="s">
        <v>829</v>
      </c>
    </row>
    <row r="264" spans="1:2">
      <c r="A264" s="215">
        <v>30730</v>
      </c>
      <c r="B264" s="214" t="s">
        <v>830</v>
      </c>
    </row>
    <row r="265" spans="1:2">
      <c r="A265" s="215">
        <v>28204</v>
      </c>
      <c r="B265" s="214" t="s">
        <v>2053</v>
      </c>
    </row>
    <row r="266" spans="1:2">
      <c r="A266" s="215">
        <v>34927</v>
      </c>
      <c r="B266" s="214" t="s">
        <v>1891</v>
      </c>
    </row>
    <row r="267" spans="1:2">
      <c r="A267" s="215">
        <v>33704</v>
      </c>
      <c r="B267" s="214" t="s">
        <v>1527</v>
      </c>
    </row>
    <row r="268" spans="1:2">
      <c r="A268" s="215">
        <v>24396</v>
      </c>
      <c r="B268" s="214" t="s">
        <v>2055</v>
      </c>
    </row>
    <row r="269" spans="1:2">
      <c r="A269" s="215">
        <v>25838</v>
      </c>
      <c r="B269" s="214" t="s">
        <v>2496</v>
      </c>
    </row>
    <row r="270" spans="1:2">
      <c r="A270" s="215">
        <v>28264</v>
      </c>
      <c r="B270" s="214" t="s">
        <v>2021</v>
      </c>
    </row>
    <row r="271" spans="1:2">
      <c r="A271" s="213" t="s">
        <v>1934</v>
      </c>
      <c r="B271" s="217" t="s">
        <v>2023</v>
      </c>
    </row>
    <row r="272" spans="1:2">
      <c r="A272" s="215">
        <v>1950</v>
      </c>
      <c r="B272" s="214" t="s">
        <v>2161</v>
      </c>
    </row>
    <row r="273" spans="1:2">
      <c r="A273" s="215">
        <v>2659</v>
      </c>
      <c r="B273" s="214" t="s">
        <v>2025</v>
      </c>
    </row>
    <row r="274" spans="1:2">
      <c r="A274" s="215">
        <v>2661</v>
      </c>
      <c r="B274" s="214" t="s">
        <v>1268</v>
      </c>
    </row>
    <row r="275" spans="1:2">
      <c r="A275" s="215">
        <v>1891</v>
      </c>
      <c r="B275" s="214" t="s">
        <v>2024</v>
      </c>
    </row>
    <row r="276" spans="1:2">
      <c r="A276" s="215">
        <v>2841</v>
      </c>
      <c r="B276" s="214" t="s">
        <v>2212</v>
      </c>
    </row>
    <row r="277" spans="1:2">
      <c r="A277" s="215">
        <v>2933</v>
      </c>
      <c r="B277" s="214" t="s">
        <v>2026</v>
      </c>
    </row>
    <row r="278" spans="1:2">
      <c r="A278" s="239">
        <v>28514</v>
      </c>
      <c r="B278" s="231" t="s">
        <v>1314</v>
      </c>
    </row>
    <row r="279" spans="1:2">
      <c r="A279" s="239">
        <v>30863</v>
      </c>
      <c r="B279" s="231" t="s">
        <v>1315</v>
      </c>
    </row>
    <row r="280" spans="1:2">
      <c r="A280" s="239">
        <v>35167</v>
      </c>
      <c r="B280" s="231" t="s">
        <v>1486</v>
      </c>
    </row>
    <row r="281" spans="1:2">
      <c r="A281" s="239">
        <v>35171</v>
      </c>
      <c r="B281" s="231" t="s">
        <v>1485</v>
      </c>
    </row>
    <row r="282" spans="1:2">
      <c r="A282" s="239">
        <v>32324</v>
      </c>
      <c r="B282" s="231" t="s">
        <v>609</v>
      </c>
    </row>
    <row r="283" spans="1:2">
      <c r="A283" s="239">
        <v>33540</v>
      </c>
      <c r="B283" s="231" t="s">
        <v>1432</v>
      </c>
    </row>
    <row r="284" spans="1:2">
      <c r="A284" s="239">
        <v>29246</v>
      </c>
      <c r="B284" s="231" t="s">
        <v>1298</v>
      </c>
    </row>
    <row r="285" spans="1:2">
      <c r="A285" s="322">
        <v>30399</v>
      </c>
      <c r="B285" s="321" t="s">
        <v>1299</v>
      </c>
    </row>
    <row r="286" spans="1:2">
      <c r="A286" s="239">
        <v>29527</v>
      </c>
      <c r="B286" s="231" t="s">
        <v>1300</v>
      </c>
    </row>
    <row r="287" spans="1:2">
      <c r="A287" s="239">
        <v>30685</v>
      </c>
      <c r="B287" s="240" t="s">
        <v>1349</v>
      </c>
    </row>
    <row r="288" spans="1:2">
      <c r="A288" s="239">
        <v>32647</v>
      </c>
      <c r="B288" s="240" t="s">
        <v>1270</v>
      </c>
    </row>
    <row r="289" spans="1:2">
      <c r="A289" s="239">
        <v>34448</v>
      </c>
      <c r="B289" s="231" t="s">
        <v>983</v>
      </c>
    </row>
    <row r="290" spans="1:2">
      <c r="A290" s="319">
        <v>28171</v>
      </c>
      <c r="B290" s="318" t="s">
        <v>1301</v>
      </c>
    </row>
    <row r="291" spans="1:2">
      <c r="A291" s="239">
        <v>32580</v>
      </c>
      <c r="B291" s="231" t="s">
        <v>1304</v>
      </c>
    </row>
    <row r="292" spans="1:2">
      <c r="A292" s="239">
        <v>29966</v>
      </c>
      <c r="B292" s="231" t="s">
        <v>1305</v>
      </c>
    </row>
    <row r="293" spans="1:2">
      <c r="A293" s="239">
        <v>32814</v>
      </c>
      <c r="B293" s="231" t="s">
        <v>1306</v>
      </c>
    </row>
    <row r="294" spans="1:2">
      <c r="A294" s="239">
        <v>33881</v>
      </c>
      <c r="B294" s="231" t="s">
        <v>792</v>
      </c>
    </row>
    <row r="295" spans="1:2">
      <c r="A295" s="239">
        <v>33893</v>
      </c>
      <c r="B295" s="231" t="s">
        <v>1424</v>
      </c>
    </row>
    <row r="296" spans="1:2">
      <c r="A296" s="213" t="s">
        <v>1934</v>
      </c>
      <c r="B296" s="217" t="s">
        <v>1307</v>
      </c>
    </row>
    <row r="297" spans="1:2">
      <c r="A297" s="215">
        <v>1593</v>
      </c>
      <c r="B297" s="214" t="s">
        <v>1271</v>
      </c>
    </row>
    <row r="298" spans="1:2">
      <c r="A298" s="215">
        <v>2649</v>
      </c>
      <c r="B298" s="214" t="s">
        <v>1308</v>
      </c>
    </row>
    <row r="299" spans="1:2">
      <c r="A299" s="215">
        <v>2648</v>
      </c>
      <c r="B299" s="214" t="s">
        <v>2162</v>
      </c>
    </row>
    <row r="300" spans="1:2">
      <c r="A300" s="215">
        <v>1891</v>
      </c>
      <c r="B300" s="214" t="s">
        <v>2024</v>
      </c>
    </row>
    <row r="301" spans="1:2">
      <c r="A301" s="319">
        <v>32532</v>
      </c>
      <c r="B301" s="318" t="s">
        <v>2497</v>
      </c>
    </row>
    <row r="302" spans="1:2">
      <c r="A302" s="215">
        <v>35032</v>
      </c>
      <c r="B302" s="214" t="s">
        <v>1989</v>
      </c>
    </row>
    <row r="303" spans="1:2">
      <c r="A303" s="215">
        <v>29503</v>
      </c>
      <c r="B303" s="214" t="s">
        <v>1309</v>
      </c>
    </row>
    <row r="304" spans="1:2">
      <c r="A304" s="215">
        <v>30145</v>
      </c>
      <c r="B304" s="214" t="s">
        <v>1310</v>
      </c>
    </row>
    <row r="305" spans="1:2">
      <c r="A305" s="215">
        <v>24365</v>
      </c>
      <c r="B305" s="214" t="s">
        <v>1311</v>
      </c>
    </row>
    <row r="306" spans="1:2">
      <c r="A306" s="215">
        <v>30937</v>
      </c>
      <c r="B306" s="214" t="s">
        <v>2498</v>
      </c>
    </row>
    <row r="307" spans="1:2">
      <c r="A307" s="215">
        <v>25685</v>
      </c>
      <c r="B307" s="214" t="s">
        <v>1312</v>
      </c>
    </row>
    <row r="308" spans="1:2">
      <c r="A308" s="215">
        <v>25834</v>
      </c>
      <c r="B308" s="214" t="s">
        <v>222</v>
      </c>
    </row>
    <row r="309" spans="1:2">
      <c r="A309" s="215">
        <v>28506</v>
      </c>
      <c r="B309" s="214" t="s">
        <v>223</v>
      </c>
    </row>
    <row r="310" spans="1:2">
      <c r="A310" s="232">
        <v>34370</v>
      </c>
      <c r="B310" s="234" t="s">
        <v>707</v>
      </c>
    </row>
    <row r="311" spans="1:2">
      <c r="A311" s="232">
        <v>34408</v>
      </c>
      <c r="B311" s="234" t="s">
        <v>969</v>
      </c>
    </row>
    <row r="312" spans="1:2">
      <c r="A312" s="215">
        <v>29947</v>
      </c>
      <c r="B312" s="214" t="s">
        <v>224</v>
      </c>
    </row>
    <row r="313" spans="1:2">
      <c r="A313" s="215">
        <v>28396</v>
      </c>
      <c r="B313" s="214" t="s">
        <v>227</v>
      </c>
    </row>
    <row r="314" spans="1:2">
      <c r="A314" s="215">
        <v>32347</v>
      </c>
      <c r="B314" s="214" t="s">
        <v>225</v>
      </c>
    </row>
    <row r="315" spans="1:2">
      <c r="A315" s="215">
        <v>30644</v>
      </c>
      <c r="B315" s="214" t="s">
        <v>226</v>
      </c>
    </row>
    <row r="316" spans="1:2">
      <c r="A316" s="215">
        <v>27509</v>
      </c>
      <c r="B316" s="214" t="s">
        <v>841</v>
      </c>
    </row>
    <row r="317" spans="1:2">
      <c r="A317" s="215">
        <v>34911</v>
      </c>
      <c r="B317" s="214" t="s">
        <v>1886</v>
      </c>
    </row>
    <row r="318" spans="1:2">
      <c r="A318" s="215">
        <v>28776</v>
      </c>
      <c r="B318" s="214" t="s">
        <v>842</v>
      </c>
    </row>
    <row r="319" spans="1:2">
      <c r="A319" s="215">
        <v>29357</v>
      </c>
      <c r="B319" s="214" t="s">
        <v>2499</v>
      </c>
    </row>
    <row r="320" spans="1:2">
      <c r="A320" s="215">
        <v>31998</v>
      </c>
      <c r="B320" s="214" t="s">
        <v>844</v>
      </c>
    </row>
    <row r="321" spans="1:2">
      <c r="A321" s="215">
        <v>29048</v>
      </c>
      <c r="B321" s="214" t="s">
        <v>2076</v>
      </c>
    </row>
    <row r="322" spans="1:2">
      <c r="A322" s="312">
        <v>35468</v>
      </c>
      <c r="B322" s="311" t="s">
        <v>2500</v>
      </c>
    </row>
    <row r="323" spans="1:2">
      <c r="A323" s="312">
        <v>35366</v>
      </c>
      <c r="B323" s="311" t="s">
        <v>2501</v>
      </c>
    </row>
    <row r="324" spans="1:2">
      <c r="A324" s="215">
        <v>27825</v>
      </c>
      <c r="B324" s="214" t="s">
        <v>845</v>
      </c>
    </row>
    <row r="325" spans="1:2">
      <c r="A325" s="215">
        <v>25969</v>
      </c>
      <c r="B325" s="214" t="s">
        <v>846</v>
      </c>
    </row>
    <row r="326" spans="1:2">
      <c r="A326" s="232">
        <v>34234</v>
      </c>
      <c r="B326" s="234" t="s">
        <v>964</v>
      </c>
    </row>
    <row r="327" spans="1:2">
      <c r="A327" s="215">
        <v>31026</v>
      </c>
      <c r="B327" s="214" t="s">
        <v>847</v>
      </c>
    </row>
    <row r="328" spans="1:2">
      <c r="A328" s="215">
        <v>33539</v>
      </c>
      <c r="B328" s="214" t="s">
        <v>1434</v>
      </c>
    </row>
    <row r="329" spans="1:2">
      <c r="A329" s="215">
        <v>33700</v>
      </c>
      <c r="B329" s="214" t="s">
        <v>1528</v>
      </c>
    </row>
    <row r="330" spans="1:2">
      <c r="A330" s="215">
        <v>27531</v>
      </c>
      <c r="B330" s="214" t="s">
        <v>17</v>
      </c>
    </row>
    <row r="331" spans="1:2">
      <c r="A331" s="213" t="s">
        <v>1934</v>
      </c>
      <c r="B331" s="217" t="s">
        <v>18</v>
      </c>
    </row>
    <row r="332" spans="1:2">
      <c r="A332" s="215">
        <v>1594</v>
      </c>
      <c r="B332" s="214" t="s">
        <v>21</v>
      </c>
    </row>
    <row r="333" spans="1:2">
      <c r="A333" s="215">
        <v>1887</v>
      </c>
      <c r="B333" s="214" t="s">
        <v>19</v>
      </c>
    </row>
    <row r="334" spans="1:2">
      <c r="A334" s="215">
        <v>2841</v>
      </c>
      <c r="B334" s="214" t="s">
        <v>2212</v>
      </c>
    </row>
    <row r="335" spans="1:2">
      <c r="A335" s="215">
        <v>931</v>
      </c>
      <c r="B335" s="214" t="s">
        <v>20</v>
      </c>
    </row>
    <row r="336" spans="1:2">
      <c r="A336" s="215">
        <v>2564</v>
      </c>
      <c r="B336" s="214" t="s">
        <v>2077</v>
      </c>
    </row>
    <row r="337" spans="1:2">
      <c r="A337" s="215">
        <v>30040</v>
      </c>
      <c r="B337" s="284" t="s">
        <v>2079</v>
      </c>
    </row>
    <row r="338" spans="1:2">
      <c r="A338" s="215">
        <v>30106</v>
      </c>
      <c r="B338" s="223" t="s">
        <v>23</v>
      </c>
    </row>
    <row r="339" spans="1:2">
      <c r="A339" s="215">
        <v>34929</v>
      </c>
      <c r="B339" s="214" t="s">
        <v>1884</v>
      </c>
    </row>
    <row r="340" spans="1:2">
      <c r="A340" s="215">
        <v>33211</v>
      </c>
      <c r="B340" s="214" t="s">
        <v>1530</v>
      </c>
    </row>
    <row r="341" spans="1:2">
      <c r="A341" s="215">
        <v>30879</v>
      </c>
      <c r="B341" s="223" t="s">
        <v>24</v>
      </c>
    </row>
    <row r="342" spans="1:2">
      <c r="A342" s="215">
        <v>27760</v>
      </c>
      <c r="B342" s="214" t="s">
        <v>25</v>
      </c>
    </row>
    <row r="343" spans="1:2">
      <c r="A343" s="215">
        <v>27911</v>
      </c>
      <c r="B343" s="214" t="s">
        <v>26</v>
      </c>
    </row>
    <row r="344" spans="1:2">
      <c r="A344" s="215">
        <v>30936</v>
      </c>
      <c r="B344" s="214" t="s">
        <v>27</v>
      </c>
    </row>
    <row r="345" spans="1:2">
      <c r="A345" s="215">
        <v>28423</v>
      </c>
      <c r="B345" s="214" t="s">
        <v>1522</v>
      </c>
    </row>
    <row r="346" spans="1:2">
      <c r="A346" s="215">
        <v>29247</v>
      </c>
      <c r="B346" s="214" t="s">
        <v>1532</v>
      </c>
    </row>
    <row r="347" spans="1:2">
      <c r="A347" s="215">
        <v>28750</v>
      </c>
      <c r="B347" s="214" t="s">
        <v>1523</v>
      </c>
    </row>
    <row r="348" spans="1:2">
      <c r="A348" s="215">
        <v>28828</v>
      </c>
      <c r="B348" s="214" t="s">
        <v>1533</v>
      </c>
    </row>
    <row r="349" spans="1:2">
      <c r="A349" s="215">
        <v>35156</v>
      </c>
      <c r="B349" s="223" t="s">
        <v>1990</v>
      </c>
    </row>
    <row r="350" spans="1:2">
      <c r="A350" s="215">
        <v>28124</v>
      </c>
      <c r="B350" s="214" t="s">
        <v>1534</v>
      </c>
    </row>
    <row r="351" spans="1:2">
      <c r="A351" s="215">
        <v>28986</v>
      </c>
      <c r="B351" s="214" t="s">
        <v>1535</v>
      </c>
    </row>
    <row r="352" spans="1:2">
      <c r="A352" s="215">
        <v>31464</v>
      </c>
      <c r="B352" s="214" t="s">
        <v>1536</v>
      </c>
    </row>
    <row r="353" spans="1:2">
      <c r="A353" s="215">
        <v>29526</v>
      </c>
      <c r="B353" s="214" t="s">
        <v>1251</v>
      </c>
    </row>
    <row r="354" spans="1:2">
      <c r="A354" s="215">
        <v>31131</v>
      </c>
      <c r="B354" s="214" t="s">
        <v>1252</v>
      </c>
    </row>
    <row r="355" spans="1:2">
      <c r="A355" s="215">
        <v>32265</v>
      </c>
      <c r="B355" s="223" t="s">
        <v>1253</v>
      </c>
    </row>
    <row r="356" spans="1:2">
      <c r="A356" s="232">
        <v>34558</v>
      </c>
      <c r="B356" s="234" t="s">
        <v>981</v>
      </c>
    </row>
    <row r="357" spans="1:2">
      <c r="A357" s="215">
        <v>30372</v>
      </c>
      <c r="B357" s="214" t="s">
        <v>1254</v>
      </c>
    </row>
    <row r="358" spans="1:2">
      <c r="A358" s="215">
        <v>32802</v>
      </c>
      <c r="B358" s="223" t="s">
        <v>1255</v>
      </c>
    </row>
    <row r="359" spans="1:2">
      <c r="A359" s="215">
        <v>33879</v>
      </c>
      <c r="B359" s="223" t="s">
        <v>1363</v>
      </c>
    </row>
    <row r="360" spans="1:2">
      <c r="A360" s="215">
        <v>33891</v>
      </c>
      <c r="B360" s="223" t="s">
        <v>1422</v>
      </c>
    </row>
    <row r="361" spans="1:2">
      <c r="A361" s="215">
        <v>33583</v>
      </c>
      <c r="B361" s="214" t="s">
        <v>1408</v>
      </c>
    </row>
    <row r="362" spans="1:2">
      <c r="A362" s="215">
        <v>27719</v>
      </c>
      <c r="B362" s="214" t="s">
        <v>29</v>
      </c>
    </row>
    <row r="363" spans="1:2">
      <c r="A363" s="215">
        <v>35034</v>
      </c>
      <c r="B363" s="214" t="s">
        <v>1987</v>
      </c>
    </row>
    <row r="364" spans="1:2">
      <c r="A364" s="215">
        <v>30148</v>
      </c>
      <c r="B364" s="214" t="s">
        <v>30</v>
      </c>
    </row>
    <row r="365" spans="1:2">
      <c r="A365" s="215">
        <v>30272</v>
      </c>
      <c r="B365" s="214" t="s">
        <v>2502</v>
      </c>
    </row>
    <row r="366" spans="1:2">
      <c r="A366" s="215">
        <v>25687</v>
      </c>
      <c r="B366" s="214" t="s">
        <v>31</v>
      </c>
    </row>
    <row r="367" spans="1:2">
      <c r="A367" s="215">
        <v>25833</v>
      </c>
      <c r="B367" s="214" t="s">
        <v>32</v>
      </c>
    </row>
    <row r="368" spans="1:2">
      <c r="A368" s="215">
        <v>27908</v>
      </c>
      <c r="B368" s="214" t="s">
        <v>33</v>
      </c>
    </row>
    <row r="369" spans="1:2">
      <c r="A369" s="215">
        <v>29995</v>
      </c>
      <c r="B369" s="214" t="s">
        <v>34</v>
      </c>
    </row>
    <row r="370" spans="1:2">
      <c r="A370" s="312">
        <v>34701</v>
      </c>
      <c r="B370" s="311" t="s">
        <v>12</v>
      </c>
    </row>
    <row r="371" spans="1:2">
      <c r="A371" s="232">
        <v>34385</v>
      </c>
      <c r="B371" s="234" t="s">
        <v>970</v>
      </c>
    </row>
    <row r="372" spans="1:2">
      <c r="A372" s="232">
        <v>34188</v>
      </c>
      <c r="B372" s="234" t="s">
        <v>872</v>
      </c>
    </row>
    <row r="373" spans="1:2">
      <c r="A373" s="215">
        <v>27514</v>
      </c>
      <c r="B373" s="214" t="s">
        <v>35</v>
      </c>
    </row>
    <row r="374" spans="1:2">
      <c r="A374" s="215">
        <v>32000</v>
      </c>
      <c r="B374" s="214" t="s">
        <v>1113</v>
      </c>
    </row>
    <row r="375" spans="1:2">
      <c r="A375" s="215">
        <v>30538</v>
      </c>
      <c r="B375" s="214" t="s">
        <v>482</v>
      </c>
    </row>
    <row r="376" spans="1:2">
      <c r="A376" s="215">
        <v>29046</v>
      </c>
      <c r="B376" s="214" t="s">
        <v>483</v>
      </c>
    </row>
    <row r="377" spans="1:2">
      <c r="A377" s="215">
        <v>31545</v>
      </c>
      <c r="B377" s="214" t="s">
        <v>484</v>
      </c>
    </row>
    <row r="378" spans="1:2">
      <c r="A378" s="312">
        <v>35368</v>
      </c>
      <c r="B378" s="311" t="s">
        <v>703</v>
      </c>
    </row>
    <row r="379" spans="1:2">
      <c r="A379" s="215">
        <v>29131</v>
      </c>
      <c r="B379" s="214" t="s">
        <v>485</v>
      </c>
    </row>
    <row r="380" spans="1:2">
      <c r="A380" s="215">
        <v>30898</v>
      </c>
      <c r="B380" s="214" t="s">
        <v>486</v>
      </c>
    </row>
    <row r="381" spans="1:2">
      <c r="A381" s="215">
        <v>33538</v>
      </c>
      <c r="B381" s="214" t="s">
        <v>1433</v>
      </c>
    </row>
    <row r="382" spans="1:2">
      <c r="A382" s="215">
        <v>28741</v>
      </c>
      <c r="B382" s="214" t="s">
        <v>2081</v>
      </c>
    </row>
    <row r="383" spans="1:2">
      <c r="A383" s="215">
        <v>31029</v>
      </c>
      <c r="B383" s="214" t="s">
        <v>487</v>
      </c>
    </row>
    <row r="384" spans="1:2">
      <c r="A384" s="215">
        <v>34910</v>
      </c>
      <c r="B384" s="214" t="s">
        <v>1888</v>
      </c>
    </row>
    <row r="385" spans="1:2">
      <c r="A385" s="215">
        <v>34928</v>
      </c>
      <c r="B385" s="214" t="s">
        <v>1889</v>
      </c>
    </row>
    <row r="386" spans="1:2">
      <c r="A386" s="215">
        <v>33702</v>
      </c>
      <c r="B386" s="214" t="s">
        <v>1529</v>
      </c>
    </row>
    <row r="387" spans="1:2">
      <c r="A387" s="215">
        <v>28347</v>
      </c>
      <c r="B387" s="214" t="s">
        <v>488</v>
      </c>
    </row>
    <row r="388" spans="1:2">
      <c r="A388" s="215">
        <v>27837</v>
      </c>
      <c r="B388" s="214" t="s">
        <v>793</v>
      </c>
    </row>
    <row r="389" spans="1:2">
      <c r="A389" s="213" t="s">
        <v>1934</v>
      </c>
      <c r="B389" s="217" t="s">
        <v>794</v>
      </c>
    </row>
    <row r="390" spans="1:2">
      <c r="A390" s="215">
        <v>3011</v>
      </c>
      <c r="B390" s="214" t="s">
        <v>1341</v>
      </c>
    </row>
    <row r="391" spans="1:2">
      <c r="A391" s="215">
        <v>3010</v>
      </c>
      <c r="B391" s="214" t="s">
        <v>1414</v>
      </c>
    </row>
    <row r="392" spans="1:2">
      <c r="A392" s="215">
        <v>2585</v>
      </c>
      <c r="B392" s="214" t="s">
        <v>795</v>
      </c>
    </row>
    <row r="393" spans="1:2">
      <c r="A393" s="215">
        <v>2841</v>
      </c>
      <c r="B393" s="214" t="s">
        <v>2212</v>
      </c>
    </row>
    <row r="394" spans="1:2">
      <c r="A394" s="215">
        <v>2543</v>
      </c>
      <c r="B394" s="214" t="s">
        <v>1104</v>
      </c>
    </row>
    <row r="395" spans="1:2">
      <c r="A395" s="215">
        <v>1508</v>
      </c>
      <c r="B395" s="214" t="s">
        <v>1105</v>
      </c>
    </row>
    <row r="396" spans="1:2">
      <c r="A396" s="215">
        <v>3013</v>
      </c>
      <c r="B396" s="214" t="s">
        <v>1919</v>
      </c>
    </row>
    <row r="397" spans="1:2">
      <c r="A397" s="215">
        <v>3012</v>
      </c>
      <c r="B397" s="214" t="s">
        <v>1342</v>
      </c>
    </row>
    <row r="398" spans="1:2">
      <c r="A398" s="215">
        <v>30891</v>
      </c>
      <c r="B398" s="214" t="s">
        <v>1920</v>
      </c>
    </row>
    <row r="399" spans="1:2">
      <c r="A399" s="215">
        <v>30060</v>
      </c>
      <c r="B399" s="214" t="s">
        <v>665</v>
      </c>
    </row>
    <row r="400" spans="1:2">
      <c r="A400" s="215">
        <v>28339</v>
      </c>
      <c r="B400" s="214" t="s">
        <v>693</v>
      </c>
    </row>
    <row r="401" spans="1:2">
      <c r="A401" s="215">
        <v>27867</v>
      </c>
      <c r="B401" s="214" t="s">
        <v>694</v>
      </c>
    </row>
    <row r="402" spans="1:2">
      <c r="A402" s="215">
        <v>30039</v>
      </c>
      <c r="B402" s="214" t="s">
        <v>695</v>
      </c>
    </row>
    <row r="403" spans="1:2">
      <c r="A403" s="215">
        <v>28545</v>
      </c>
      <c r="B403" s="214" t="s">
        <v>255</v>
      </c>
    </row>
    <row r="404" spans="1:2">
      <c r="A404" s="215">
        <v>30401</v>
      </c>
      <c r="B404" s="214" t="s">
        <v>696</v>
      </c>
    </row>
    <row r="405" spans="1:2">
      <c r="A405" s="215">
        <v>25686</v>
      </c>
      <c r="B405" s="214" t="s">
        <v>889</v>
      </c>
    </row>
    <row r="406" spans="1:2">
      <c r="A406" s="215">
        <v>30939</v>
      </c>
      <c r="B406" s="214" t="s">
        <v>888</v>
      </c>
    </row>
    <row r="407" spans="1:2">
      <c r="A407" s="215">
        <v>28422</v>
      </c>
      <c r="B407" s="214" t="s">
        <v>892</v>
      </c>
    </row>
    <row r="408" spans="1:2">
      <c r="A408" s="215">
        <v>35141</v>
      </c>
      <c r="B408" s="214" t="s">
        <v>1991</v>
      </c>
    </row>
    <row r="409" spans="1:2">
      <c r="A409" s="215">
        <v>28987</v>
      </c>
      <c r="B409" s="214" t="s">
        <v>893</v>
      </c>
    </row>
    <row r="410" spans="1:2">
      <c r="A410" s="215">
        <v>30707</v>
      </c>
      <c r="B410" s="214" t="s">
        <v>2503</v>
      </c>
    </row>
    <row r="411" spans="1:2">
      <c r="A411" s="215">
        <v>33222</v>
      </c>
      <c r="B411" s="214" t="s">
        <v>1431</v>
      </c>
    </row>
    <row r="412" spans="1:2">
      <c r="A412" s="215">
        <v>28669</v>
      </c>
      <c r="B412" s="214" t="s">
        <v>894</v>
      </c>
    </row>
    <row r="413" spans="1:2">
      <c r="A413" s="215">
        <v>32366</v>
      </c>
      <c r="B413" s="214" t="s">
        <v>895</v>
      </c>
    </row>
    <row r="414" spans="1:2">
      <c r="A414" s="215">
        <v>29248</v>
      </c>
      <c r="B414" s="214" t="s">
        <v>896</v>
      </c>
    </row>
    <row r="415" spans="1:2">
      <c r="A415" s="232">
        <v>34575</v>
      </c>
      <c r="B415" s="234" t="s">
        <v>982</v>
      </c>
    </row>
    <row r="416" spans="1:2">
      <c r="A416" s="232">
        <v>34809</v>
      </c>
      <c r="B416" s="234" t="s">
        <v>129</v>
      </c>
    </row>
    <row r="417" spans="1:2">
      <c r="A417" s="215">
        <v>31288</v>
      </c>
      <c r="B417" s="214" t="s">
        <v>716</v>
      </c>
    </row>
    <row r="418" spans="1:2">
      <c r="A418" s="215">
        <v>32790</v>
      </c>
      <c r="B418" s="214" t="s">
        <v>717</v>
      </c>
    </row>
    <row r="419" spans="1:2">
      <c r="A419" s="215">
        <v>33892</v>
      </c>
      <c r="B419" s="214" t="s">
        <v>1423</v>
      </c>
    </row>
    <row r="420" spans="1:2">
      <c r="A420" s="213" t="s">
        <v>1934</v>
      </c>
      <c r="B420" s="217" t="s">
        <v>718</v>
      </c>
    </row>
    <row r="421" spans="1:2">
      <c r="A421" s="216">
        <v>2940</v>
      </c>
      <c r="B421" s="214" t="s">
        <v>721</v>
      </c>
    </row>
    <row r="422" spans="1:2">
      <c r="A422" s="216">
        <v>2939</v>
      </c>
      <c r="B422" s="214" t="s">
        <v>720</v>
      </c>
    </row>
    <row r="423" spans="1:2">
      <c r="A423" s="216">
        <v>2657</v>
      </c>
      <c r="B423" s="214" t="s">
        <v>257</v>
      </c>
    </row>
    <row r="424" spans="1:2">
      <c r="A424" s="216">
        <v>2649</v>
      </c>
      <c r="B424" s="214" t="s">
        <v>1308</v>
      </c>
    </row>
    <row r="425" spans="1:2">
      <c r="A425" s="215">
        <v>1887</v>
      </c>
      <c r="B425" s="214" t="s">
        <v>19</v>
      </c>
    </row>
    <row r="426" spans="1:2">
      <c r="A426" s="216">
        <v>2841</v>
      </c>
      <c r="B426" s="214" t="s">
        <v>2212</v>
      </c>
    </row>
    <row r="427" spans="1:2">
      <c r="A427" s="216">
        <v>911</v>
      </c>
      <c r="B427" s="214" t="s">
        <v>719</v>
      </c>
    </row>
    <row r="428" spans="1:2">
      <c r="A428" s="216">
        <v>2658</v>
      </c>
      <c r="B428" s="214" t="s">
        <v>722</v>
      </c>
    </row>
    <row r="429" spans="1:2">
      <c r="A429" s="215">
        <v>34887</v>
      </c>
      <c r="B429" s="214" t="s">
        <v>155</v>
      </c>
    </row>
    <row r="430" spans="1:2">
      <c r="A430" s="215">
        <v>30973</v>
      </c>
      <c r="B430" s="214" t="s">
        <v>1913</v>
      </c>
    </row>
    <row r="431" spans="1:2">
      <c r="A431" s="312">
        <v>34798</v>
      </c>
      <c r="B431" s="311" t="s">
        <v>2094</v>
      </c>
    </row>
    <row r="432" spans="1:2">
      <c r="A432" s="312">
        <v>34706</v>
      </c>
      <c r="B432" s="311" t="s">
        <v>10</v>
      </c>
    </row>
    <row r="433" spans="1:2">
      <c r="A433" s="215">
        <v>32526</v>
      </c>
      <c r="B433" s="214" t="s">
        <v>723</v>
      </c>
    </row>
    <row r="434" spans="1:2">
      <c r="A434" s="215">
        <v>29298</v>
      </c>
      <c r="B434" s="214" t="s">
        <v>2504</v>
      </c>
    </row>
    <row r="435" spans="1:2">
      <c r="A435" s="215">
        <v>29299</v>
      </c>
      <c r="B435" s="214" t="s">
        <v>2505</v>
      </c>
    </row>
    <row r="436" spans="1:2">
      <c r="A436" s="215">
        <v>29300</v>
      </c>
      <c r="B436" s="214" t="s">
        <v>2506</v>
      </c>
    </row>
    <row r="437" spans="1:2">
      <c r="A437" s="215">
        <v>34189</v>
      </c>
      <c r="B437" s="214" t="s">
        <v>130</v>
      </c>
    </row>
    <row r="438" spans="1:2">
      <c r="A438" s="215">
        <v>29301</v>
      </c>
      <c r="B438" s="214" t="s">
        <v>1921</v>
      </c>
    </row>
    <row r="439" spans="1:2">
      <c r="A439" s="215">
        <v>28553</v>
      </c>
      <c r="B439" s="214" t="s">
        <v>724</v>
      </c>
    </row>
    <row r="440" spans="1:2">
      <c r="A440" s="215">
        <v>29997</v>
      </c>
      <c r="B440" s="223" t="s">
        <v>491</v>
      </c>
    </row>
    <row r="441" spans="1:2">
      <c r="A441" s="215">
        <v>28246</v>
      </c>
      <c r="B441" s="214" t="s">
        <v>2507</v>
      </c>
    </row>
    <row r="442" spans="1:2">
      <c r="A442" s="215">
        <v>24088</v>
      </c>
      <c r="B442" s="214" t="s">
        <v>2163</v>
      </c>
    </row>
    <row r="443" spans="1:2">
      <c r="A443" s="215">
        <v>28407</v>
      </c>
      <c r="B443" s="214" t="s">
        <v>2164</v>
      </c>
    </row>
    <row r="444" spans="1:2">
      <c r="A444" s="215">
        <v>28649</v>
      </c>
      <c r="B444" s="214" t="s">
        <v>492</v>
      </c>
    </row>
    <row r="445" spans="1:2">
      <c r="A445" s="215">
        <v>35131</v>
      </c>
      <c r="B445" s="214" t="s">
        <v>1993</v>
      </c>
    </row>
    <row r="446" spans="1:2">
      <c r="A446" s="232">
        <v>34361</v>
      </c>
      <c r="B446" s="234" t="s">
        <v>979</v>
      </c>
    </row>
    <row r="447" spans="1:2">
      <c r="A447" s="215">
        <v>30860</v>
      </c>
      <c r="B447" s="214" t="s">
        <v>493</v>
      </c>
    </row>
    <row r="448" spans="1:2">
      <c r="A448" s="215">
        <v>25804</v>
      </c>
      <c r="B448" s="214" t="s">
        <v>1230</v>
      </c>
    </row>
    <row r="449" spans="1:2">
      <c r="A449" s="215">
        <v>27925</v>
      </c>
      <c r="B449" s="214" t="s">
        <v>494</v>
      </c>
    </row>
    <row r="450" spans="1:2">
      <c r="A450" s="215">
        <v>28757</v>
      </c>
      <c r="B450" s="214" t="s">
        <v>259</v>
      </c>
    </row>
    <row r="451" spans="1:2">
      <c r="A451" s="215">
        <v>29379</v>
      </c>
      <c r="B451" s="214" t="s">
        <v>495</v>
      </c>
    </row>
    <row r="452" spans="1:2">
      <c r="A452" s="215">
        <v>32266</v>
      </c>
      <c r="B452" s="223" t="s">
        <v>1936</v>
      </c>
    </row>
    <row r="453" spans="1:2">
      <c r="A453" s="215">
        <v>34075</v>
      </c>
      <c r="B453" s="214" t="s">
        <v>727</v>
      </c>
    </row>
    <row r="454" spans="1:2">
      <c r="A454" s="215">
        <v>30052</v>
      </c>
      <c r="B454" s="223" t="s">
        <v>496</v>
      </c>
    </row>
    <row r="455" spans="1:2">
      <c r="A455" s="215">
        <v>30738</v>
      </c>
      <c r="B455" s="214" t="s">
        <v>497</v>
      </c>
    </row>
    <row r="456" spans="1:2">
      <c r="A456" s="215">
        <v>32942</v>
      </c>
      <c r="B456" s="214" t="s">
        <v>2285</v>
      </c>
    </row>
    <row r="457" spans="1:2">
      <c r="A457" s="215">
        <v>28791</v>
      </c>
      <c r="B457" s="214" t="s">
        <v>1916</v>
      </c>
    </row>
    <row r="458" spans="1:2">
      <c r="A458" s="215">
        <v>31920</v>
      </c>
      <c r="B458" s="214" t="s">
        <v>1699</v>
      </c>
    </row>
    <row r="459" spans="1:2">
      <c r="A459" s="215">
        <v>30834</v>
      </c>
      <c r="B459" s="214" t="s">
        <v>1700</v>
      </c>
    </row>
    <row r="460" spans="1:2">
      <c r="A460" s="215">
        <v>33496</v>
      </c>
      <c r="B460" s="223" t="s">
        <v>1437</v>
      </c>
    </row>
    <row r="461" spans="1:2">
      <c r="A461" s="215">
        <v>31077</v>
      </c>
      <c r="B461" s="214" t="s">
        <v>1701</v>
      </c>
    </row>
    <row r="462" spans="1:2">
      <c r="A462" s="215">
        <v>32497</v>
      </c>
      <c r="B462" s="223" t="s">
        <v>1702</v>
      </c>
    </row>
    <row r="463" spans="1:2">
      <c r="A463" s="215">
        <v>34837</v>
      </c>
      <c r="B463" s="214" t="s">
        <v>1892</v>
      </c>
    </row>
    <row r="464" spans="1:2">
      <c r="A464" s="215">
        <v>33057</v>
      </c>
      <c r="B464" s="214" t="s">
        <v>2471</v>
      </c>
    </row>
    <row r="465" spans="1:2">
      <c r="A465" s="215">
        <v>33919</v>
      </c>
      <c r="B465" s="214" t="s">
        <v>159</v>
      </c>
    </row>
    <row r="466" spans="1:2">
      <c r="A466" s="215">
        <v>29280</v>
      </c>
      <c r="B466" s="214" t="s">
        <v>2508</v>
      </c>
    </row>
    <row r="467" spans="1:2">
      <c r="A467" s="215">
        <v>29281</v>
      </c>
      <c r="B467" s="214" t="s">
        <v>2509</v>
      </c>
    </row>
    <row r="468" spans="1:2">
      <c r="A468" s="215">
        <v>29282</v>
      </c>
      <c r="B468" s="214" t="s">
        <v>2510</v>
      </c>
    </row>
    <row r="469" spans="1:2">
      <c r="A469" s="215">
        <v>29283</v>
      </c>
      <c r="B469" s="214" t="s">
        <v>1703</v>
      </c>
    </row>
    <row r="470" spans="1:2">
      <c r="A470" s="213" t="s">
        <v>1934</v>
      </c>
      <c r="B470" s="217" t="s">
        <v>1704</v>
      </c>
    </row>
    <row r="471" spans="1:2">
      <c r="A471" s="215">
        <v>2931</v>
      </c>
      <c r="B471" s="214" t="s">
        <v>1706</v>
      </c>
    </row>
    <row r="472" spans="1:2">
      <c r="A472" s="215">
        <v>2929</v>
      </c>
      <c r="B472" s="214" t="s">
        <v>1564</v>
      </c>
    </row>
    <row r="473" spans="1:2">
      <c r="A473" s="242">
        <v>28288</v>
      </c>
      <c r="B473" s="241" t="s">
        <v>2290</v>
      </c>
    </row>
    <row r="474" spans="1:2">
      <c r="A474" s="232">
        <v>32492</v>
      </c>
      <c r="B474" s="231" t="s">
        <v>2295</v>
      </c>
    </row>
    <row r="475" spans="1:2">
      <c r="A475" s="232">
        <v>35751</v>
      </c>
      <c r="B475" s="231" t="s">
        <v>438</v>
      </c>
    </row>
    <row r="476" spans="1:2">
      <c r="A476" s="232">
        <v>34163</v>
      </c>
      <c r="B476" s="233" t="s">
        <v>2511</v>
      </c>
    </row>
    <row r="477" spans="1:2">
      <c r="A477" s="232">
        <v>34576</v>
      </c>
      <c r="B477" s="233" t="s">
        <v>2512</v>
      </c>
    </row>
    <row r="478" spans="1:2">
      <c r="A478" s="232">
        <v>33832</v>
      </c>
      <c r="B478" s="233" t="s">
        <v>2513</v>
      </c>
    </row>
    <row r="479" spans="1:2">
      <c r="A479" s="232">
        <v>34578</v>
      </c>
      <c r="B479" s="233" t="s">
        <v>2514</v>
      </c>
    </row>
    <row r="480" spans="1:2">
      <c r="A480" s="232">
        <v>33831</v>
      </c>
      <c r="B480" s="234" t="s">
        <v>1760</v>
      </c>
    </row>
    <row r="481" spans="1:2">
      <c r="A481" s="242">
        <v>28041</v>
      </c>
      <c r="B481" s="241" t="s">
        <v>184</v>
      </c>
    </row>
    <row r="482" spans="1:2">
      <c r="A482" s="232">
        <v>29383</v>
      </c>
      <c r="B482" s="234" t="s">
        <v>185</v>
      </c>
    </row>
    <row r="483" spans="1:2">
      <c r="A483" s="245">
        <v>29776</v>
      </c>
      <c r="B483" s="244" t="s">
        <v>187</v>
      </c>
    </row>
    <row r="484" spans="1:2">
      <c r="A484" s="242">
        <v>32654</v>
      </c>
      <c r="B484" s="241" t="s">
        <v>1655</v>
      </c>
    </row>
    <row r="485" spans="1:2">
      <c r="A485" s="232">
        <v>31856</v>
      </c>
      <c r="B485" s="233" t="s">
        <v>1657</v>
      </c>
    </row>
    <row r="486" spans="1:2">
      <c r="A486" s="232">
        <v>31857</v>
      </c>
      <c r="B486" s="231" t="s">
        <v>1658</v>
      </c>
    </row>
    <row r="487" spans="1:2">
      <c r="A487" s="232">
        <v>28830</v>
      </c>
      <c r="B487" s="231" t="s">
        <v>1938</v>
      </c>
    </row>
    <row r="488" spans="1:2">
      <c r="A488" s="232">
        <v>19406</v>
      </c>
      <c r="B488" s="234" t="s">
        <v>1955</v>
      </c>
    </row>
    <row r="489" spans="1:2">
      <c r="A489" s="242">
        <v>35694</v>
      </c>
      <c r="B489" s="241" t="s">
        <v>1893</v>
      </c>
    </row>
    <row r="490" spans="1:2">
      <c r="A490" s="242">
        <v>24128</v>
      </c>
      <c r="B490" s="241" t="s">
        <v>1956</v>
      </c>
    </row>
    <row r="491" spans="1:2">
      <c r="A491" s="242">
        <v>35702</v>
      </c>
      <c r="B491" s="241" t="s">
        <v>1347</v>
      </c>
    </row>
    <row r="492" spans="1:2">
      <c r="A492" s="242">
        <v>28034</v>
      </c>
      <c r="B492" s="243" t="s">
        <v>1720</v>
      </c>
    </row>
    <row r="493" spans="1:2">
      <c r="A493" s="242">
        <v>28121</v>
      </c>
      <c r="B493" s="243" t="s">
        <v>785</v>
      </c>
    </row>
    <row r="494" spans="1:2">
      <c r="A494" s="232">
        <v>22954</v>
      </c>
      <c r="B494" s="234" t="s">
        <v>132</v>
      </c>
    </row>
    <row r="495" spans="1:2">
      <c r="A495" s="232">
        <v>32505</v>
      </c>
      <c r="B495" s="231" t="s">
        <v>133</v>
      </c>
    </row>
    <row r="496" spans="1:2">
      <c r="A496" s="232">
        <v>23206</v>
      </c>
      <c r="B496" s="234" t="s">
        <v>2243</v>
      </c>
    </row>
    <row r="497" spans="1:2">
      <c r="A497" s="232">
        <v>28528</v>
      </c>
      <c r="B497" s="234" t="s">
        <v>2165</v>
      </c>
    </row>
    <row r="498" spans="1:2">
      <c r="A498" s="232">
        <v>28579</v>
      </c>
      <c r="B498" s="240" t="s">
        <v>138</v>
      </c>
    </row>
    <row r="499" spans="1:2">
      <c r="A499" s="242">
        <v>13209</v>
      </c>
      <c r="B499" s="241" t="s">
        <v>519</v>
      </c>
    </row>
    <row r="500" spans="1:2">
      <c r="A500" s="232">
        <v>34472</v>
      </c>
      <c r="B500" s="234" t="s">
        <v>991</v>
      </c>
    </row>
    <row r="501" spans="1:2">
      <c r="A501" s="232">
        <v>32770</v>
      </c>
      <c r="B501" s="234" t="s">
        <v>1231</v>
      </c>
    </row>
    <row r="502" spans="1:2">
      <c r="A502" s="232">
        <v>23041</v>
      </c>
      <c r="B502" s="233" t="s">
        <v>139</v>
      </c>
    </row>
    <row r="503" spans="1:2">
      <c r="A503" s="245">
        <v>25937</v>
      </c>
      <c r="B503" s="668" t="s">
        <v>140</v>
      </c>
    </row>
    <row r="504" spans="1:2">
      <c r="A504" s="232">
        <v>30627</v>
      </c>
      <c r="B504" s="240" t="s">
        <v>142</v>
      </c>
    </row>
    <row r="505" spans="1:2">
      <c r="A505" s="232">
        <v>30450</v>
      </c>
      <c r="B505" s="240" t="s">
        <v>1940</v>
      </c>
    </row>
    <row r="506" spans="1:2">
      <c r="A506" s="283">
        <v>2564</v>
      </c>
      <c r="B506" s="669" t="s">
        <v>1975</v>
      </c>
    </row>
    <row r="507" spans="1:2">
      <c r="A507" s="283">
        <v>3222</v>
      </c>
      <c r="B507" s="669" t="s">
        <v>1469</v>
      </c>
    </row>
    <row r="508" spans="1:2">
      <c r="A508" s="283">
        <v>1900</v>
      </c>
      <c r="B508" s="669" t="s">
        <v>1977</v>
      </c>
    </row>
    <row r="509" spans="1:2">
      <c r="A509" s="283">
        <v>3225</v>
      </c>
      <c r="B509" s="669" t="s">
        <v>1665</v>
      </c>
    </row>
    <row r="510" spans="1:2">
      <c r="A510" s="283">
        <v>803</v>
      </c>
      <c r="B510" s="669" t="s">
        <v>1978</v>
      </c>
    </row>
    <row r="511" spans="1:2">
      <c r="A511" s="283">
        <v>1898</v>
      </c>
      <c r="B511" s="669" t="s">
        <v>1639</v>
      </c>
    </row>
    <row r="512" spans="1:2">
      <c r="A512" s="283">
        <v>963</v>
      </c>
      <c r="B512" s="669" t="s">
        <v>1640</v>
      </c>
    </row>
    <row r="513" spans="1:2">
      <c r="A513" s="283">
        <v>2673</v>
      </c>
      <c r="B513" s="669" t="s">
        <v>1229</v>
      </c>
    </row>
    <row r="514" spans="1:2">
      <c r="A514" s="670" t="s">
        <v>146</v>
      </c>
      <c r="B514" s="653" t="s">
        <v>1645</v>
      </c>
    </row>
    <row r="515" spans="1:2">
      <c r="A515" s="670" t="s">
        <v>146</v>
      </c>
      <c r="B515" s="653" t="s">
        <v>1289</v>
      </c>
    </row>
    <row r="516" spans="1:2">
      <c r="A516" s="283">
        <v>2564</v>
      </c>
      <c r="B516" s="669" t="s">
        <v>1975</v>
      </c>
    </row>
    <row r="517" spans="1:2">
      <c r="A517" s="283">
        <v>3222</v>
      </c>
      <c r="B517" s="669" t="s">
        <v>1469</v>
      </c>
    </row>
    <row r="518" spans="1:2">
      <c r="A518" s="283">
        <v>1900</v>
      </c>
      <c r="B518" s="669" t="s">
        <v>1977</v>
      </c>
    </row>
    <row r="519" spans="1:2">
      <c r="A519" s="283">
        <v>3225</v>
      </c>
      <c r="B519" s="669" t="s">
        <v>1665</v>
      </c>
    </row>
    <row r="520" spans="1:2">
      <c r="A520" s="283">
        <v>803</v>
      </c>
      <c r="B520" s="669" t="s">
        <v>1978</v>
      </c>
    </row>
    <row r="521" spans="1:2">
      <c r="A521" s="283">
        <v>1898</v>
      </c>
      <c r="B521" s="669" t="s">
        <v>1639</v>
      </c>
    </row>
    <row r="522" spans="1:2">
      <c r="A522" s="283">
        <v>963</v>
      </c>
      <c r="B522" s="669" t="s">
        <v>1640</v>
      </c>
    </row>
    <row r="523" spans="1:2">
      <c r="A523" s="283">
        <v>2673</v>
      </c>
      <c r="B523" s="669" t="s">
        <v>1229</v>
      </c>
    </row>
    <row r="524" spans="1:2">
      <c r="A524" s="670" t="s">
        <v>146</v>
      </c>
      <c r="B524" s="653" t="s">
        <v>563</v>
      </c>
    </row>
    <row r="525" spans="1:2">
      <c r="A525" s="299">
        <v>34894</v>
      </c>
      <c r="B525" s="481" t="s">
        <v>425</v>
      </c>
    </row>
    <row r="526" spans="1:2">
      <c r="A526" s="299">
        <v>28572</v>
      </c>
      <c r="B526" s="481" t="s">
        <v>2271</v>
      </c>
    </row>
    <row r="527" spans="1:2">
      <c r="A527" s="297">
        <v>34665</v>
      </c>
      <c r="B527" s="480" t="s">
        <v>971</v>
      </c>
    </row>
    <row r="528" spans="1:2">
      <c r="A528" s="299">
        <v>30901</v>
      </c>
      <c r="B528" s="481" t="s">
        <v>2279</v>
      </c>
    </row>
    <row r="529" spans="1:2">
      <c r="A529" s="299">
        <v>35093</v>
      </c>
      <c r="B529" s="481" t="s">
        <v>1998</v>
      </c>
    </row>
    <row r="530" spans="1:2">
      <c r="A530" s="297">
        <v>31305</v>
      </c>
      <c r="B530" s="480" t="s">
        <v>2281</v>
      </c>
    </row>
    <row r="531" spans="1:2">
      <c r="A531" s="299">
        <v>34329</v>
      </c>
      <c r="B531" s="298" t="s">
        <v>988</v>
      </c>
    </row>
    <row r="532" spans="1:2">
      <c r="A532" s="297">
        <v>32659</v>
      </c>
      <c r="B532" s="480" t="s">
        <v>646</v>
      </c>
    </row>
    <row r="533" spans="1:2">
      <c r="A533" s="299">
        <v>33389</v>
      </c>
      <c r="B533" s="481" t="s">
        <v>1663</v>
      </c>
    </row>
    <row r="534" spans="1:2">
      <c r="A534" s="299">
        <v>23555</v>
      </c>
      <c r="B534" s="481" t="s">
        <v>444</v>
      </c>
    </row>
    <row r="535" spans="1:2">
      <c r="A535" s="299">
        <v>34606</v>
      </c>
      <c r="B535" s="481" t="s">
        <v>1142</v>
      </c>
    </row>
    <row r="536" spans="1:2">
      <c r="A536" s="299">
        <v>28524</v>
      </c>
      <c r="B536" s="481" t="s">
        <v>446</v>
      </c>
    </row>
    <row r="537" spans="1:2">
      <c r="A537" s="299">
        <v>34165</v>
      </c>
      <c r="B537" s="481" t="s">
        <v>987</v>
      </c>
    </row>
    <row r="538" spans="1:2">
      <c r="A538" s="299">
        <v>30103</v>
      </c>
      <c r="B538" s="481" t="s">
        <v>447</v>
      </c>
    </row>
    <row r="539" spans="1:2">
      <c r="A539" s="299">
        <v>29346</v>
      </c>
      <c r="B539" s="481" t="s">
        <v>1735</v>
      </c>
    </row>
    <row r="540" spans="1:2">
      <c r="A540" s="299">
        <v>28312</v>
      </c>
      <c r="B540" s="481" t="s">
        <v>1737</v>
      </c>
    </row>
    <row r="541" spans="1:2">
      <c r="A541" s="297">
        <v>28954</v>
      </c>
      <c r="B541" s="480" t="s">
        <v>940</v>
      </c>
    </row>
    <row r="542" spans="1:2">
      <c r="A542" s="297">
        <v>28955</v>
      </c>
      <c r="B542" s="480" t="s">
        <v>941</v>
      </c>
    </row>
    <row r="543" spans="1:2">
      <c r="A543" s="299">
        <v>29121</v>
      </c>
      <c r="B543" s="481" t="s">
        <v>1738</v>
      </c>
    </row>
    <row r="544" spans="1:2">
      <c r="A544" s="299">
        <v>29962</v>
      </c>
      <c r="B544" s="481" t="s">
        <v>648</v>
      </c>
    </row>
    <row r="545" spans="1:2">
      <c r="A545" s="297">
        <v>28929</v>
      </c>
      <c r="B545" s="480" t="s">
        <v>942</v>
      </c>
    </row>
    <row r="546" spans="1:2">
      <c r="A546" s="297">
        <v>28930</v>
      </c>
      <c r="B546" s="480" t="s">
        <v>943</v>
      </c>
    </row>
    <row r="547" spans="1:2">
      <c r="A547" s="297">
        <v>28416</v>
      </c>
      <c r="B547" s="480" t="s">
        <v>649</v>
      </c>
    </row>
    <row r="548" spans="1:2">
      <c r="A548" s="297">
        <v>31745</v>
      </c>
      <c r="B548" s="480" t="s">
        <v>650</v>
      </c>
    </row>
    <row r="549" spans="1:2">
      <c r="A549" s="303">
        <v>30312</v>
      </c>
      <c r="B549" s="482" t="s">
        <v>651</v>
      </c>
    </row>
    <row r="550" spans="1:2">
      <c r="A550" s="299">
        <v>22802</v>
      </c>
      <c r="B550" s="481" t="s">
        <v>652</v>
      </c>
    </row>
    <row r="551" spans="1:2">
      <c r="A551" s="299">
        <v>28768</v>
      </c>
      <c r="B551" s="481" t="s">
        <v>653</v>
      </c>
    </row>
    <row r="552" spans="1:2">
      <c r="A552" s="299">
        <v>32044</v>
      </c>
      <c r="B552" s="481" t="s">
        <v>654</v>
      </c>
    </row>
    <row r="553" spans="1:2">
      <c r="A553" s="299">
        <v>32269</v>
      </c>
      <c r="B553" s="481" t="s">
        <v>239</v>
      </c>
    </row>
    <row r="554" spans="1:2">
      <c r="A554" s="299">
        <v>33298</v>
      </c>
      <c r="B554" s="481" t="s">
        <v>1531</v>
      </c>
    </row>
    <row r="555" spans="1:2">
      <c r="A555" s="299">
        <v>29125</v>
      </c>
      <c r="B555" s="481" t="s">
        <v>655</v>
      </c>
    </row>
    <row r="556" spans="1:2">
      <c r="A556" s="299">
        <v>29182</v>
      </c>
      <c r="B556" s="481" t="s">
        <v>1352</v>
      </c>
    </row>
    <row r="557" spans="1:2">
      <c r="A557" s="299">
        <v>32471</v>
      </c>
      <c r="B557" s="481" t="s">
        <v>1353</v>
      </c>
    </row>
    <row r="558" spans="1:2">
      <c r="A558" s="299">
        <v>34197</v>
      </c>
      <c r="B558" s="481" t="s">
        <v>989</v>
      </c>
    </row>
    <row r="559" spans="1:2">
      <c r="A559" s="297">
        <v>32781</v>
      </c>
      <c r="B559" s="480" t="s">
        <v>647</v>
      </c>
    </row>
    <row r="560" spans="1:2">
      <c r="A560" s="297">
        <v>27463</v>
      </c>
      <c r="B560" s="480" t="s">
        <v>854</v>
      </c>
    </row>
    <row r="561" spans="1:2">
      <c r="A561" s="299">
        <v>31331</v>
      </c>
      <c r="B561" s="481" t="s">
        <v>1370</v>
      </c>
    </row>
    <row r="562" spans="1:2">
      <c r="A562" s="297">
        <v>28226</v>
      </c>
      <c r="B562" s="480" t="s">
        <v>1371</v>
      </c>
    </row>
    <row r="563" spans="1:2">
      <c r="A563" s="299">
        <v>30865</v>
      </c>
      <c r="B563" s="481" t="s">
        <v>1372</v>
      </c>
    </row>
    <row r="564" spans="1:2">
      <c r="A564" s="297">
        <v>27814</v>
      </c>
      <c r="B564" s="480" t="s">
        <v>645</v>
      </c>
    </row>
    <row r="565" spans="1:2">
      <c r="A565" s="299">
        <v>33493</v>
      </c>
      <c r="B565" s="481" t="s">
        <v>1436</v>
      </c>
    </row>
    <row r="566" spans="1:2">
      <c r="A566" s="299">
        <v>33754</v>
      </c>
      <c r="B566" s="481" t="s">
        <v>1765</v>
      </c>
    </row>
    <row r="567" spans="1:2">
      <c r="A567" s="299">
        <v>29360</v>
      </c>
      <c r="B567" s="481" t="s">
        <v>1373</v>
      </c>
    </row>
    <row r="568" spans="1:2">
      <c r="A568" s="297">
        <v>28345</v>
      </c>
      <c r="B568" s="480" t="s">
        <v>1374</v>
      </c>
    </row>
    <row r="569" spans="1:2">
      <c r="A569" s="297">
        <v>27913</v>
      </c>
      <c r="B569" s="480" t="s">
        <v>1375</v>
      </c>
    </row>
    <row r="570" spans="1:2">
      <c r="A570" s="299">
        <v>33214</v>
      </c>
      <c r="B570" s="298" t="s">
        <v>282</v>
      </c>
    </row>
    <row r="571" spans="1:2">
      <c r="A571" s="303">
        <v>22736</v>
      </c>
      <c r="B571" s="302" t="s">
        <v>2070</v>
      </c>
    </row>
    <row r="572" spans="1:2">
      <c r="A572" s="299">
        <v>30881</v>
      </c>
      <c r="B572" s="298" t="s">
        <v>1378</v>
      </c>
    </row>
    <row r="573" spans="1:2">
      <c r="A573" s="299">
        <v>32369</v>
      </c>
      <c r="B573" s="298" t="s">
        <v>241</v>
      </c>
    </row>
    <row r="574" spans="1:2">
      <c r="A574" s="299">
        <v>28427</v>
      </c>
      <c r="B574" s="298" t="s">
        <v>1379</v>
      </c>
    </row>
    <row r="575" spans="1:2">
      <c r="A575" s="299">
        <v>28426</v>
      </c>
      <c r="B575" s="298" t="s">
        <v>1380</v>
      </c>
    </row>
    <row r="576" spans="1:2">
      <c r="A576" s="299">
        <v>31332</v>
      </c>
      <c r="B576" s="298" t="s">
        <v>1381</v>
      </c>
    </row>
    <row r="577" spans="1:2">
      <c r="A577" s="299">
        <v>35101</v>
      </c>
      <c r="B577" s="298" t="s">
        <v>2002</v>
      </c>
    </row>
    <row r="578" spans="1:2">
      <c r="A578" s="299">
        <v>34164</v>
      </c>
      <c r="B578" s="298" t="s">
        <v>986</v>
      </c>
    </row>
    <row r="579" spans="1:2">
      <c r="A579" s="297">
        <v>28267</v>
      </c>
      <c r="B579" s="296" t="s">
        <v>1382</v>
      </c>
    </row>
    <row r="580" spans="1:2">
      <c r="A580" s="299">
        <v>23540</v>
      </c>
      <c r="B580" s="298" t="s">
        <v>1383</v>
      </c>
    </row>
    <row r="581" spans="1:2">
      <c r="A581" s="299">
        <v>28425</v>
      </c>
      <c r="B581" s="298" t="s">
        <v>1384</v>
      </c>
    </row>
    <row r="582" spans="1:2">
      <c r="A582" s="299">
        <v>28295</v>
      </c>
      <c r="B582" s="298" t="s">
        <v>1385</v>
      </c>
    </row>
    <row r="583" spans="1:2">
      <c r="A583" s="297">
        <v>28952</v>
      </c>
      <c r="B583" s="296" t="s">
        <v>944</v>
      </c>
    </row>
    <row r="584" spans="1:2">
      <c r="A584" s="297">
        <v>28956</v>
      </c>
      <c r="B584" s="296" t="s">
        <v>945</v>
      </c>
    </row>
    <row r="585" spans="1:2">
      <c r="A585" s="299">
        <v>23054</v>
      </c>
      <c r="B585" s="298" t="s">
        <v>1386</v>
      </c>
    </row>
    <row r="586" spans="1:2">
      <c r="A586" s="299">
        <v>33388</v>
      </c>
      <c r="B586" s="298" t="s">
        <v>281</v>
      </c>
    </row>
    <row r="587" spans="1:2">
      <c r="A587" s="297">
        <v>28926</v>
      </c>
      <c r="B587" s="296" t="s">
        <v>947</v>
      </c>
    </row>
    <row r="588" spans="1:2">
      <c r="A588" s="297">
        <v>28937</v>
      </c>
      <c r="B588" s="296" t="s">
        <v>946</v>
      </c>
    </row>
    <row r="589" spans="1:2">
      <c r="A589" s="299">
        <v>29156</v>
      </c>
      <c r="B589" s="298" t="s">
        <v>1387</v>
      </c>
    </row>
    <row r="590" spans="1:2">
      <c r="A590" s="299">
        <v>30733</v>
      </c>
      <c r="B590" s="298" t="s">
        <v>1388</v>
      </c>
    </row>
    <row r="591" spans="1:2">
      <c r="A591" s="297">
        <v>30788</v>
      </c>
      <c r="B591" s="296" t="s">
        <v>1389</v>
      </c>
    </row>
    <row r="592" spans="1:2">
      <c r="A592" s="297">
        <v>34672</v>
      </c>
      <c r="B592" s="296" t="s">
        <v>972</v>
      </c>
    </row>
    <row r="593" spans="1:2">
      <c r="A593" s="299">
        <v>28749</v>
      </c>
      <c r="B593" s="298" t="s">
        <v>1390</v>
      </c>
    </row>
    <row r="594" spans="1:2">
      <c r="A594" s="297">
        <v>34703</v>
      </c>
      <c r="B594" s="296" t="s">
        <v>960</v>
      </c>
    </row>
    <row r="595" spans="1:2">
      <c r="A595" s="297">
        <v>28189</v>
      </c>
      <c r="B595" s="296" t="s">
        <v>1392</v>
      </c>
    </row>
    <row r="596" spans="1:2">
      <c r="A596" s="299">
        <v>32052</v>
      </c>
      <c r="B596" s="298" t="s">
        <v>1391</v>
      </c>
    </row>
    <row r="597" spans="1:2">
      <c r="A597" s="297">
        <v>27673</v>
      </c>
      <c r="B597" s="296" t="s">
        <v>1393</v>
      </c>
    </row>
    <row r="598" spans="1:2">
      <c r="A598" s="299">
        <v>34609</v>
      </c>
      <c r="B598" s="298" t="s">
        <v>1636</v>
      </c>
    </row>
    <row r="599" spans="1:2">
      <c r="A599" s="297">
        <v>28311</v>
      </c>
      <c r="B599" s="296" t="s">
        <v>1394</v>
      </c>
    </row>
    <row r="600" spans="1:2">
      <c r="A600" s="299">
        <v>28729</v>
      </c>
      <c r="B600" s="298" t="s">
        <v>1396</v>
      </c>
    </row>
    <row r="601" spans="1:2">
      <c r="A601" s="299">
        <v>30082</v>
      </c>
      <c r="B601" s="298" t="s">
        <v>1227</v>
      </c>
    </row>
    <row r="602" spans="1:2">
      <c r="A602" s="299">
        <v>23577</v>
      </c>
      <c r="B602" s="298" t="s">
        <v>1397</v>
      </c>
    </row>
    <row r="603" spans="1:2">
      <c r="A603" s="299">
        <v>29362</v>
      </c>
      <c r="B603" s="298" t="s">
        <v>1398</v>
      </c>
    </row>
    <row r="604" spans="1:2">
      <c r="A604" s="297">
        <v>34666</v>
      </c>
      <c r="B604" s="296" t="s">
        <v>973</v>
      </c>
    </row>
    <row r="605" spans="1:2">
      <c r="A605" s="299">
        <v>30874</v>
      </c>
      <c r="B605" s="298" t="s">
        <v>243</v>
      </c>
    </row>
    <row r="606" spans="1:2">
      <c r="A606" s="303">
        <v>19019</v>
      </c>
      <c r="B606" s="302" t="s">
        <v>1399</v>
      </c>
    </row>
    <row r="607" spans="1:2">
      <c r="A607" s="299">
        <v>33762</v>
      </c>
      <c r="B607" s="298" t="s">
        <v>1768</v>
      </c>
    </row>
    <row r="608" spans="1:2">
      <c r="A608" s="299">
        <v>29124</v>
      </c>
      <c r="B608" s="298" t="s">
        <v>0</v>
      </c>
    </row>
    <row r="609" spans="1:2">
      <c r="A609" s="303">
        <v>32837</v>
      </c>
      <c r="B609" s="302" t="s">
        <v>1</v>
      </c>
    </row>
    <row r="610" spans="1:2">
      <c r="A610" s="303">
        <v>30311</v>
      </c>
      <c r="B610" s="302" t="s">
        <v>4</v>
      </c>
    </row>
    <row r="611" spans="1:2">
      <c r="A611" s="297">
        <v>28400</v>
      </c>
      <c r="B611" s="296" t="s">
        <v>3</v>
      </c>
    </row>
    <row r="612" spans="1:2">
      <c r="A612" s="299">
        <v>28584</v>
      </c>
      <c r="B612" s="298" t="s">
        <v>898</v>
      </c>
    </row>
    <row r="613" spans="1:2">
      <c r="A613" s="299">
        <v>35076</v>
      </c>
      <c r="B613" s="298" t="s">
        <v>2003</v>
      </c>
    </row>
    <row r="614" spans="1:2">
      <c r="A614" s="299">
        <v>32946</v>
      </c>
      <c r="B614" s="298" t="s">
        <v>698</v>
      </c>
    </row>
    <row r="615" spans="1:2">
      <c r="A615" s="297">
        <v>27846</v>
      </c>
      <c r="B615" s="296" t="s">
        <v>899</v>
      </c>
    </row>
    <row r="616" spans="1:2">
      <c r="A616" s="297">
        <v>27533</v>
      </c>
      <c r="B616" s="296" t="s">
        <v>900</v>
      </c>
    </row>
    <row r="617" spans="1:2">
      <c r="A617" s="299">
        <v>28313</v>
      </c>
      <c r="B617" s="298" t="s">
        <v>901</v>
      </c>
    </row>
    <row r="618" spans="1:2">
      <c r="A618" s="297">
        <v>28953</v>
      </c>
      <c r="B618" s="296" t="s">
        <v>948</v>
      </c>
    </row>
    <row r="619" spans="1:2">
      <c r="A619" s="297">
        <v>28928</v>
      </c>
      <c r="B619" s="296" t="s">
        <v>949</v>
      </c>
    </row>
    <row r="620" spans="1:2">
      <c r="A620" s="299">
        <v>32028</v>
      </c>
      <c r="B620" s="298" t="s">
        <v>902</v>
      </c>
    </row>
    <row r="621" spans="1:2">
      <c r="A621" s="299">
        <v>33495</v>
      </c>
      <c r="B621" s="298" t="s">
        <v>279</v>
      </c>
    </row>
    <row r="622" spans="1:2">
      <c r="A622" s="297">
        <v>28392</v>
      </c>
      <c r="B622" s="296" t="s">
        <v>903</v>
      </c>
    </row>
    <row r="623" spans="1:2">
      <c r="A623" s="299">
        <v>32944</v>
      </c>
      <c r="B623" s="298" t="s">
        <v>904</v>
      </c>
    </row>
    <row r="624" spans="1:2">
      <c r="A624" s="299">
        <v>29348</v>
      </c>
      <c r="B624" s="298" t="s">
        <v>905</v>
      </c>
    </row>
    <row r="625" spans="1:2">
      <c r="A625" s="299">
        <v>33737</v>
      </c>
      <c r="B625" s="298" t="s">
        <v>1767</v>
      </c>
    </row>
    <row r="626" spans="1:2">
      <c r="A626" s="299">
        <v>34893</v>
      </c>
      <c r="B626" s="298" t="s">
        <v>1883</v>
      </c>
    </row>
    <row r="627" spans="1:2">
      <c r="A627" s="297">
        <v>32661</v>
      </c>
      <c r="B627" s="296" t="s">
        <v>1207</v>
      </c>
    </row>
    <row r="628" spans="1:2">
      <c r="A628" s="297">
        <v>27901</v>
      </c>
      <c r="B628" s="296" t="s">
        <v>1917</v>
      </c>
    </row>
    <row r="629" spans="1:2">
      <c r="A629" s="297">
        <v>28210</v>
      </c>
      <c r="B629" s="296" t="s">
        <v>912</v>
      </c>
    </row>
    <row r="630" spans="1:2">
      <c r="A630" s="299">
        <v>35071</v>
      </c>
      <c r="B630" s="298" t="s">
        <v>2000</v>
      </c>
    </row>
    <row r="631" spans="1:2">
      <c r="A631" s="299">
        <v>28438</v>
      </c>
      <c r="B631" s="298" t="s">
        <v>913</v>
      </c>
    </row>
    <row r="632" spans="1:2">
      <c r="A632" s="299">
        <v>28439</v>
      </c>
      <c r="B632" s="298" t="s">
        <v>914</v>
      </c>
    </row>
    <row r="633" spans="1:2">
      <c r="A633" s="299">
        <v>28437</v>
      </c>
      <c r="B633" s="298" t="s">
        <v>915</v>
      </c>
    </row>
    <row r="634" spans="1:2">
      <c r="A634" s="299">
        <v>28657</v>
      </c>
      <c r="B634" s="298" t="s">
        <v>231</v>
      </c>
    </row>
    <row r="635" spans="1:2">
      <c r="A635" s="299">
        <v>28305</v>
      </c>
      <c r="B635" s="298" t="s">
        <v>232</v>
      </c>
    </row>
    <row r="636" spans="1:2">
      <c r="A636" s="297">
        <v>28950</v>
      </c>
      <c r="B636" s="296" t="s">
        <v>952</v>
      </c>
    </row>
    <row r="637" spans="1:2">
      <c r="A637" s="297">
        <v>28951</v>
      </c>
      <c r="B637" s="296" t="s">
        <v>953</v>
      </c>
    </row>
    <row r="638" spans="1:2">
      <c r="A638" s="297">
        <v>28924</v>
      </c>
      <c r="B638" s="296" t="s">
        <v>954</v>
      </c>
    </row>
    <row r="639" spans="1:2">
      <c r="A639" s="297">
        <v>28925</v>
      </c>
      <c r="B639" s="296" t="s">
        <v>855</v>
      </c>
    </row>
    <row r="640" spans="1:2">
      <c r="A640" s="299">
        <v>30058</v>
      </c>
      <c r="B640" s="298" t="s">
        <v>618</v>
      </c>
    </row>
    <row r="641" spans="1:2">
      <c r="A641" s="299">
        <v>32026</v>
      </c>
      <c r="B641" s="298" t="s">
        <v>233</v>
      </c>
    </row>
    <row r="642" spans="1:2">
      <c r="A642" s="299">
        <v>29996</v>
      </c>
      <c r="B642" s="298" t="s">
        <v>813</v>
      </c>
    </row>
    <row r="643" spans="1:2">
      <c r="A643" s="299">
        <v>23544</v>
      </c>
      <c r="B643" s="298" t="s">
        <v>234</v>
      </c>
    </row>
    <row r="644" spans="1:2">
      <c r="A644" s="299">
        <v>32943</v>
      </c>
      <c r="B644" s="298" t="s">
        <v>1627</v>
      </c>
    </row>
    <row r="645" spans="1:2">
      <c r="A645" s="299">
        <v>32262</v>
      </c>
      <c r="B645" s="298" t="s">
        <v>529</v>
      </c>
    </row>
    <row r="646" spans="1:2">
      <c r="A646" s="297">
        <v>32536</v>
      </c>
      <c r="B646" s="296" t="s">
        <v>1233</v>
      </c>
    </row>
    <row r="647" spans="1:2">
      <c r="A647" s="297">
        <v>32536</v>
      </c>
      <c r="B647" s="296" t="s">
        <v>1234</v>
      </c>
    </row>
    <row r="648" spans="1:2">
      <c r="A648" s="297">
        <v>32536</v>
      </c>
      <c r="B648" s="296" t="s">
        <v>1235</v>
      </c>
    </row>
    <row r="649" spans="1:2">
      <c r="A649" s="297">
        <v>32536</v>
      </c>
      <c r="B649" s="296" t="s">
        <v>1236</v>
      </c>
    </row>
    <row r="650" spans="1:2">
      <c r="A650" s="297">
        <v>27980</v>
      </c>
      <c r="B650" s="296" t="s">
        <v>235</v>
      </c>
    </row>
    <row r="651" spans="1:2">
      <c r="A651" s="297">
        <v>27476</v>
      </c>
      <c r="B651" s="296" t="s">
        <v>236</v>
      </c>
    </row>
    <row r="652" spans="1:2">
      <c r="A652" s="299">
        <v>33733</v>
      </c>
      <c r="B652" s="298" t="s">
        <v>1766</v>
      </c>
    </row>
    <row r="653" spans="1:2">
      <c r="A653" s="301" t="s">
        <v>1934</v>
      </c>
      <c r="B653" s="301" t="s">
        <v>1740</v>
      </c>
    </row>
    <row r="654" spans="1:2">
      <c r="A654" s="299">
        <v>34894</v>
      </c>
      <c r="B654" s="481" t="s">
        <v>425</v>
      </c>
    </row>
    <row r="655" spans="1:2">
      <c r="A655" s="299">
        <v>28572</v>
      </c>
      <c r="B655" s="481" t="s">
        <v>2271</v>
      </c>
    </row>
    <row r="656" spans="1:2">
      <c r="A656" s="297">
        <v>34665</v>
      </c>
      <c r="B656" s="480" t="s">
        <v>971</v>
      </c>
    </row>
    <row r="657" spans="1:2">
      <c r="A657" s="299">
        <v>30901</v>
      </c>
      <c r="B657" s="481" t="s">
        <v>2279</v>
      </c>
    </row>
    <row r="658" spans="1:2">
      <c r="A658" s="299">
        <v>35058</v>
      </c>
      <c r="B658" s="481" t="s">
        <v>1997</v>
      </c>
    </row>
    <row r="659" spans="1:2">
      <c r="A659" s="299">
        <v>35093</v>
      </c>
      <c r="B659" s="481" t="s">
        <v>1998</v>
      </c>
    </row>
    <row r="660" spans="1:2">
      <c r="A660" s="299">
        <v>35095</v>
      </c>
      <c r="B660" s="481" t="s">
        <v>1999</v>
      </c>
    </row>
    <row r="661" spans="1:2">
      <c r="A661" s="297">
        <v>31305</v>
      </c>
      <c r="B661" s="480" t="s">
        <v>2281</v>
      </c>
    </row>
    <row r="662" spans="1:2">
      <c r="A662" s="299">
        <v>34329</v>
      </c>
      <c r="B662" s="298" t="s">
        <v>988</v>
      </c>
    </row>
    <row r="663" spans="1:2">
      <c r="A663" s="297">
        <v>32659</v>
      </c>
      <c r="B663" s="480" t="s">
        <v>646</v>
      </c>
    </row>
    <row r="664" spans="1:2">
      <c r="A664" s="299">
        <v>33389</v>
      </c>
      <c r="B664" s="481" t="s">
        <v>1663</v>
      </c>
    </row>
    <row r="665" spans="1:2">
      <c r="A665" s="299">
        <v>23555</v>
      </c>
      <c r="B665" s="481" t="s">
        <v>444</v>
      </c>
    </row>
    <row r="666" spans="1:2">
      <c r="A666" s="299">
        <v>34606</v>
      </c>
      <c r="B666" s="481" t="s">
        <v>1142</v>
      </c>
    </row>
    <row r="667" spans="1:2">
      <c r="A667" s="299">
        <v>28524</v>
      </c>
      <c r="B667" s="481" t="s">
        <v>446</v>
      </c>
    </row>
    <row r="668" spans="1:2">
      <c r="A668" s="299">
        <v>34165</v>
      </c>
      <c r="B668" s="481" t="s">
        <v>987</v>
      </c>
    </row>
    <row r="669" spans="1:2">
      <c r="A669" s="299">
        <v>30103</v>
      </c>
      <c r="B669" s="481" t="s">
        <v>447</v>
      </c>
    </row>
    <row r="670" spans="1:2">
      <c r="A670" s="299">
        <v>29346</v>
      </c>
      <c r="B670" s="481" t="s">
        <v>1735</v>
      </c>
    </row>
    <row r="671" spans="1:2">
      <c r="A671" s="299">
        <v>28312</v>
      </c>
      <c r="B671" s="481" t="s">
        <v>1737</v>
      </c>
    </row>
    <row r="672" spans="1:2">
      <c r="A672" s="299">
        <v>28310</v>
      </c>
      <c r="B672" s="481" t="s">
        <v>237</v>
      </c>
    </row>
    <row r="673" spans="1:2">
      <c r="A673" s="297">
        <v>28954</v>
      </c>
      <c r="B673" s="480" t="s">
        <v>940</v>
      </c>
    </row>
    <row r="674" spans="1:2">
      <c r="A674" s="297">
        <v>28955</v>
      </c>
      <c r="B674" s="480" t="s">
        <v>941</v>
      </c>
    </row>
    <row r="675" spans="1:2">
      <c r="A675" s="299">
        <v>29121</v>
      </c>
      <c r="B675" s="481" t="s">
        <v>1738</v>
      </c>
    </row>
    <row r="676" spans="1:2">
      <c r="A676" s="299">
        <v>29962</v>
      </c>
      <c r="B676" s="481" t="s">
        <v>648</v>
      </c>
    </row>
    <row r="677" spans="1:2">
      <c r="A677" s="297">
        <v>28929</v>
      </c>
      <c r="B677" s="480" t="s">
        <v>942</v>
      </c>
    </row>
    <row r="678" spans="1:2">
      <c r="A678" s="297">
        <v>28930</v>
      </c>
      <c r="B678" s="480" t="s">
        <v>943</v>
      </c>
    </row>
    <row r="679" spans="1:2">
      <c r="A679" s="297">
        <v>28416</v>
      </c>
      <c r="B679" s="480" t="s">
        <v>649</v>
      </c>
    </row>
    <row r="680" spans="1:2">
      <c r="A680" s="303">
        <v>30312</v>
      </c>
      <c r="B680" s="482" t="s">
        <v>651</v>
      </c>
    </row>
    <row r="681" spans="1:2">
      <c r="A681" s="299">
        <v>22802</v>
      </c>
      <c r="B681" s="481" t="s">
        <v>652</v>
      </c>
    </row>
    <row r="682" spans="1:2">
      <c r="A682" s="299">
        <v>28768</v>
      </c>
      <c r="B682" s="481" t="s">
        <v>653</v>
      </c>
    </row>
    <row r="683" spans="1:2">
      <c r="A683" s="299">
        <v>32044</v>
      </c>
      <c r="B683" s="481" t="s">
        <v>654</v>
      </c>
    </row>
    <row r="684" spans="1:2">
      <c r="A684" s="299">
        <v>32046</v>
      </c>
      <c r="B684" s="481" t="s">
        <v>238</v>
      </c>
    </row>
    <row r="685" spans="1:2">
      <c r="A685" s="299">
        <v>32269</v>
      </c>
      <c r="B685" s="481" t="s">
        <v>239</v>
      </c>
    </row>
    <row r="686" spans="1:2">
      <c r="A686" s="299">
        <v>33298</v>
      </c>
      <c r="B686" s="481" t="s">
        <v>1531</v>
      </c>
    </row>
    <row r="687" spans="1:2">
      <c r="A687" s="299">
        <v>29125</v>
      </c>
      <c r="B687" s="481" t="s">
        <v>655</v>
      </c>
    </row>
    <row r="688" spans="1:2">
      <c r="A688" s="299">
        <v>29182</v>
      </c>
      <c r="B688" s="481" t="s">
        <v>1352</v>
      </c>
    </row>
    <row r="689" spans="1:2">
      <c r="A689" s="299">
        <v>29275</v>
      </c>
      <c r="B689" s="481" t="s">
        <v>240</v>
      </c>
    </row>
    <row r="690" spans="1:2">
      <c r="A690" s="299">
        <v>32471</v>
      </c>
      <c r="B690" s="481" t="s">
        <v>1353</v>
      </c>
    </row>
    <row r="691" spans="1:2">
      <c r="A691" s="299">
        <v>34197</v>
      </c>
      <c r="B691" s="481" t="s">
        <v>989</v>
      </c>
    </row>
    <row r="692" spans="1:2">
      <c r="A692" s="299">
        <v>34949</v>
      </c>
      <c r="B692" s="481" t="s">
        <v>427</v>
      </c>
    </row>
    <row r="693" spans="1:2">
      <c r="A693" s="297">
        <v>27463</v>
      </c>
      <c r="B693" s="480" t="s">
        <v>854</v>
      </c>
    </row>
    <row r="694" spans="1:2">
      <c r="A694" s="299">
        <v>34952</v>
      </c>
      <c r="B694" s="481" t="s">
        <v>428</v>
      </c>
    </row>
    <row r="695" spans="1:2">
      <c r="A695" s="299">
        <v>31331</v>
      </c>
      <c r="B695" s="481" t="s">
        <v>1370</v>
      </c>
    </row>
    <row r="696" spans="1:2">
      <c r="A696" s="297">
        <v>28226</v>
      </c>
      <c r="B696" s="480" t="s">
        <v>1371</v>
      </c>
    </row>
    <row r="697" spans="1:2">
      <c r="A697" s="299">
        <v>30865</v>
      </c>
      <c r="B697" s="481" t="s">
        <v>1372</v>
      </c>
    </row>
    <row r="698" spans="1:2">
      <c r="A698" s="297">
        <v>27814</v>
      </c>
      <c r="B698" s="480" t="s">
        <v>645</v>
      </c>
    </row>
    <row r="699" spans="1:2">
      <c r="A699" s="299">
        <v>33493</v>
      </c>
      <c r="B699" s="481" t="s">
        <v>1436</v>
      </c>
    </row>
    <row r="700" spans="1:2">
      <c r="A700" s="299">
        <v>33801</v>
      </c>
      <c r="B700" s="481" t="s">
        <v>1421</v>
      </c>
    </row>
    <row r="701" spans="1:2">
      <c r="A701" s="299">
        <v>33754</v>
      </c>
      <c r="B701" s="481" t="s">
        <v>1765</v>
      </c>
    </row>
    <row r="702" spans="1:2">
      <c r="A702" s="299">
        <v>33756</v>
      </c>
      <c r="B702" s="481" t="s">
        <v>1764</v>
      </c>
    </row>
    <row r="703" spans="1:2">
      <c r="A703" s="299">
        <v>29360</v>
      </c>
      <c r="B703" s="481" t="s">
        <v>1373</v>
      </c>
    </row>
    <row r="704" spans="1:2">
      <c r="A704" s="297">
        <v>28345</v>
      </c>
      <c r="B704" s="480" t="s">
        <v>1374</v>
      </c>
    </row>
    <row r="705" spans="1:2">
      <c r="A705" s="297">
        <v>27913</v>
      </c>
      <c r="B705" s="480" t="s">
        <v>1375</v>
      </c>
    </row>
    <row r="706" spans="1:2">
      <c r="A706" s="299">
        <v>33214</v>
      </c>
      <c r="B706" s="298" t="s">
        <v>282</v>
      </c>
    </row>
    <row r="707" spans="1:2">
      <c r="A707" s="299">
        <v>30881</v>
      </c>
      <c r="B707" s="298" t="s">
        <v>1378</v>
      </c>
    </row>
    <row r="708" spans="1:2">
      <c r="A708" s="299">
        <v>32369</v>
      </c>
      <c r="B708" s="298" t="s">
        <v>241</v>
      </c>
    </row>
    <row r="709" spans="1:2">
      <c r="A709" s="299">
        <v>28427</v>
      </c>
      <c r="B709" s="298" t="s">
        <v>1379</v>
      </c>
    </row>
    <row r="710" spans="1:2">
      <c r="A710" s="299">
        <v>28426</v>
      </c>
      <c r="B710" s="298" t="s">
        <v>1380</v>
      </c>
    </row>
    <row r="711" spans="1:2">
      <c r="A711" s="299">
        <v>31332</v>
      </c>
      <c r="B711" s="298" t="s">
        <v>1381</v>
      </c>
    </row>
    <row r="712" spans="1:2">
      <c r="A712" s="299">
        <v>35072</v>
      </c>
      <c r="B712" s="298" t="s">
        <v>2001</v>
      </c>
    </row>
    <row r="713" spans="1:2">
      <c r="A713" s="299">
        <v>35101</v>
      </c>
      <c r="B713" s="298" t="s">
        <v>2002</v>
      </c>
    </row>
    <row r="714" spans="1:2">
      <c r="A714" s="299">
        <v>34164</v>
      </c>
      <c r="B714" s="298" t="s">
        <v>986</v>
      </c>
    </row>
    <row r="715" spans="1:2">
      <c r="A715" s="297">
        <v>28267</v>
      </c>
      <c r="B715" s="296" t="s">
        <v>1382</v>
      </c>
    </row>
    <row r="716" spans="1:2">
      <c r="A716" s="299">
        <v>23540</v>
      </c>
      <c r="B716" s="298" t="s">
        <v>1383</v>
      </c>
    </row>
    <row r="717" spans="1:2">
      <c r="A717" s="299">
        <v>28425</v>
      </c>
      <c r="B717" s="298" t="s">
        <v>1384</v>
      </c>
    </row>
    <row r="718" spans="1:2">
      <c r="A718" s="299">
        <v>28307</v>
      </c>
      <c r="B718" s="298" t="s">
        <v>242</v>
      </c>
    </row>
    <row r="719" spans="1:2">
      <c r="A719" s="299">
        <v>28295</v>
      </c>
      <c r="B719" s="298" t="s">
        <v>1385</v>
      </c>
    </row>
    <row r="720" spans="1:2">
      <c r="A720" s="297">
        <v>28952</v>
      </c>
      <c r="B720" s="296" t="s">
        <v>944</v>
      </c>
    </row>
    <row r="721" spans="1:2">
      <c r="A721" s="297">
        <v>28956</v>
      </c>
      <c r="B721" s="296" t="s">
        <v>945</v>
      </c>
    </row>
    <row r="722" spans="1:2">
      <c r="A722" s="299">
        <v>23054</v>
      </c>
      <c r="B722" s="298" t="s">
        <v>1386</v>
      </c>
    </row>
    <row r="723" spans="1:2">
      <c r="A723" s="299">
        <v>33388</v>
      </c>
      <c r="B723" s="298" t="s">
        <v>281</v>
      </c>
    </row>
    <row r="724" spans="1:2">
      <c r="A724" s="297">
        <v>28926</v>
      </c>
      <c r="B724" s="296" t="s">
        <v>947</v>
      </c>
    </row>
    <row r="725" spans="1:2">
      <c r="A725" s="297">
        <v>28937</v>
      </c>
      <c r="B725" s="296" t="s">
        <v>946</v>
      </c>
    </row>
    <row r="726" spans="1:2">
      <c r="A726" s="299">
        <v>29156</v>
      </c>
      <c r="B726" s="298" t="s">
        <v>1387</v>
      </c>
    </row>
    <row r="727" spans="1:2">
      <c r="A727" s="299">
        <v>30733</v>
      </c>
      <c r="B727" s="298" t="s">
        <v>1388</v>
      </c>
    </row>
    <row r="728" spans="1:2">
      <c r="A728" s="297">
        <v>34672</v>
      </c>
      <c r="B728" s="296" t="s">
        <v>972</v>
      </c>
    </row>
    <row r="729" spans="1:2">
      <c r="A729" s="299">
        <v>28749</v>
      </c>
      <c r="B729" s="298" t="s">
        <v>1390</v>
      </c>
    </row>
    <row r="730" spans="1:2">
      <c r="A730" s="297">
        <v>34703</v>
      </c>
      <c r="B730" s="296" t="s">
        <v>960</v>
      </c>
    </row>
    <row r="731" spans="1:2">
      <c r="A731" s="297">
        <v>28189</v>
      </c>
      <c r="B731" s="296" t="s">
        <v>1392</v>
      </c>
    </row>
    <row r="732" spans="1:2">
      <c r="A732" s="299">
        <v>32027</v>
      </c>
      <c r="B732" s="298" t="s">
        <v>522</v>
      </c>
    </row>
    <row r="733" spans="1:2">
      <c r="A733" s="299">
        <v>32052</v>
      </c>
      <c r="B733" s="298" t="s">
        <v>1391</v>
      </c>
    </row>
    <row r="734" spans="1:2">
      <c r="A734" s="297">
        <v>27673</v>
      </c>
      <c r="B734" s="296" t="s">
        <v>1393</v>
      </c>
    </row>
    <row r="735" spans="1:2">
      <c r="A735" s="299">
        <v>34609</v>
      </c>
      <c r="B735" s="298" t="s">
        <v>1636</v>
      </c>
    </row>
    <row r="736" spans="1:2">
      <c r="A736" s="297">
        <v>28311</v>
      </c>
      <c r="B736" s="296" t="s">
        <v>1394</v>
      </c>
    </row>
    <row r="737" spans="1:2">
      <c r="A737" s="299">
        <v>28729</v>
      </c>
      <c r="B737" s="298" t="s">
        <v>1396</v>
      </c>
    </row>
    <row r="738" spans="1:2">
      <c r="A738" s="299">
        <v>30082</v>
      </c>
      <c r="B738" s="298" t="s">
        <v>1227</v>
      </c>
    </row>
    <row r="739" spans="1:2">
      <c r="A739" s="299">
        <v>23577</v>
      </c>
      <c r="B739" s="298" t="s">
        <v>1397</v>
      </c>
    </row>
    <row r="740" spans="1:2">
      <c r="A740" s="299">
        <v>29362</v>
      </c>
      <c r="B740" s="298" t="s">
        <v>1398</v>
      </c>
    </row>
    <row r="741" spans="1:2">
      <c r="A741" s="297">
        <v>34666</v>
      </c>
      <c r="B741" s="296" t="s">
        <v>973</v>
      </c>
    </row>
    <row r="742" spans="1:2">
      <c r="A742" s="299">
        <v>30874</v>
      </c>
      <c r="B742" s="298" t="s">
        <v>243</v>
      </c>
    </row>
    <row r="743" spans="1:2">
      <c r="A743" s="303">
        <v>19019</v>
      </c>
      <c r="B743" s="302" t="s">
        <v>1399</v>
      </c>
    </row>
    <row r="744" spans="1:2">
      <c r="A744" s="299">
        <v>33734</v>
      </c>
      <c r="B744" s="298" t="s">
        <v>1761</v>
      </c>
    </row>
    <row r="745" spans="1:2">
      <c r="A745" s="299">
        <v>33762</v>
      </c>
      <c r="B745" s="298" t="s">
        <v>1768</v>
      </c>
    </row>
    <row r="746" spans="1:2">
      <c r="A746" s="299">
        <v>29124</v>
      </c>
      <c r="B746" s="298" t="s">
        <v>0</v>
      </c>
    </row>
    <row r="747" spans="1:2">
      <c r="A747" s="303">
        <v>32838</v>
      </c>
      <c r="B747" s="302" t="s">
        <v>1</v>
      </c>
    </row>
    <row r="748" spans="1:2">
      <c r="A748" s="303">
        <v>30311</v>
      </c>
      <c r="B748" s="302" t="s">
        <v>4</v>
      </c>
    </row>
    <row r="749" spans="1:2">
      <c r="A749" s="297">
        <v>28400</v>
      </c>
      <c r="B749" s="296" t="s">
        <v>3</v>
      </c>
    </row>
    <row r="750" spans="1:2">
      <c r="A750" s="297">
        <v>27747</v>
      </c>
      <c r="B750" s="296" t="s">
        <v>606</v>
      </c>
    </row>
    <row r="751" spans="1:2">
      <c r="A751" s="299">
        <v>35037</v>
      </c>
      <c r="B751" s="298" t="s">
        <v>1995</v>
      </c>
    </row>
    <row r="752" spans="1:2">
      <c r="A752" s="299">
        <v>35038</v>
      </c>
      <c r="B752" s="298" t="s">
        <v>1996</v>
      </c>
    </row>
    <row r="753" spans="1:2">
      <c r="A753" s="299">
        <v>23242</v>
      </c>
      <c r="B753" s="298" t="s">
        <v>244</v>
      </c>
    </row>
    <row r="754" spans="1:2">
      <c r="A754" s="299">
        <v>29948</v>
      </c>
      <c r="B754" s="298" t="s">
        <v>245</v>
      </c>
    </row>
    <row r="755" spans="1:2">
      <c r="A755" s="299">
        <v>32946</v>
      </c>
      <c r="B755" s="298" t="s">
        <v>154</v>
      </c>
    </row>
    <row r="756" spans="1:2">
      <c r="A756" s="299">
        <v>33640</v>
      </c>
      <c r="B756" s="298" t="s">
        <v>280</v>
      </c>
    </row>
    <row r="757" spans="1:2">
      <c r="A757" s="299">
        <v>28314</v>
      </c>
      <c r="B757" s="298" t="s">
        <v>246</v>
      </c>
    </row>
    <row r="758" spans="1:2">
      <c r="A758" s="297">
        <v>28947</v>
      </c>
      <c r="B758" s="296" t="s">
        <v>950</v>
      </c>
    </row>
    <row r="759" spans="1:2">
      <c r="A759" s="299">
        <v>34203</v>
      </c>
      <c r="B759" s="298" t="s">
        <v>1678</v>
      </c>
    </row>
    <row r="760" spans="1:2">
      <c r="A760" s="297">
        <v>28922</v>
      </c>
      <c r="B760" s="296" t="s">
        <v>951</v>
      </c>
    </row>
    <row r="761" spans="1:2">
      <c r="A761" s="299">
        <v>32003</v>
      </c>
      <c r="B761" s="298" t="s">
        <v>247</v>
      </c>
    </row>
    <row r="762" spans="1:2">
      <c r="A762" s="299">
        <v>34346</v>
      </c>
      <c r="B762" s="298" t="s">
        <v>701</v>
      </c>
    </row>
    <row r="763" spans="1:2">
      <c r="A763" s="297">
        <v>28315</v>
      </c>
      <c r="B763" s="296" t="s">
        <v>1624</v>
      </c>
    </row>
    <row r="764" spans="1:2">
      <c r="A764" s="299">
        <v>34016</v>
      </c>
      <c r="B764" s="298" t="s">
        <v>113</v>
      </c>
    </row>
    <row r="765" spans="1:2">
      <c r="A765" s="299">
        <v>33705</v>
      </c>
      <c r="B765" s="298" t="s">
        <v>1762</v>
      </c>
    </row>
    <row r="766" spans="1:2">
      <c r="A766" s="299">
        <v>34951</v>
      </c>
      <c r="B766" s="298" t="s">
        <v>429</v>
      </c>
    </row>
    <row r="767" spans="1:2">
      <c r="A767" s="299">
        <v>34950</v>
      </c>
      <c r="B767" s="298" t="s">
        <v>1882</v>
      </c>
    </row>
    <row r="768" spans="1:2">
      <c r="A768" s="297">
        <v>32661</v>
      </c>
      <c r="B768" s="296" t="s">
        <v>1207</v>
      </c>
    </row>
    <row r="769" spans="1:2">
      <c r="A769" s="297">
        <v>27901</v>
      </c>
      <c r="B769" s="296" t="s">
        <v>1917</v>
      </c>
    </row>
    <row r="770" spans="1:2">
      <c r="A770" s="297">
        <v>28210</v>
      </c>
      <c r="B770" s="296" t="s">
        <v>912</v>
      </c>
    </row>
    <row r="771" spans="1:2">
      <c r="A771" s="299">
        <v>34988</v>
      </c>
      <c r="B771" s="298" t="s">
        <v>1994</v>
      </c>
    </row>
    <row r="772" spans="1:2">
      <c r="A772" s="299">
        <v>35071</v>
      </c>
      <c r="B772" s="298" t="s">
        <v>2000</v>
      </c>
    </row>
    <row r="773" spans="1:2">
      <c r="A773" s="299">
        <v>28657</v>
      </c>
      <c r="B773" s="298" t="s">
        <v>231</v>
      </c>
    </row>
    <row r="774" spans="1:2">
      <c r="A774" s="299">
        <v>28302</v>
      </c>
      <c r="B774" s="298" t="s">
        <v>1625</v>
      </c>
    </row>
    <row r="775" spans="1:2">
      <c r="A775" s="299">
        <v>28305</v>
      </c>
      <c r="B775" s="298" t="s">
        <v>232</v>
      </c>
    </row>
    <row r="776" spans="1:2">
      <c r="A776" s="297">
        <v>28950</v>
      </c>
      <c r="B776" s="296" t="s">
        <v>952</v>
      </c>
    </row>
    <row r="777" spans="1:2">
      <c r="A777" s="297">
        <v>28951</v>
      </c>
      <c r="B777" s="296" t="s">
        <v>953</v>
      </c>
    </row>
    <row r="778" spans="1:2">
      <c r="A778" s="297">
        <v>28924</v>
      </c>
      <c r="B778" s="296" t="s">
        <v>954</v>
      </c>
    </row>
    <row r="779" spans="1:2">
      <c r="A779" s="297">
        <v>28925</v>
      </c>
      <c r="B779" s="296" t="s">
        <v>855</v>
      </c>
    </row>
    <row r="780" spans="1:2">
      <c r="A780" s="299">
        <v>31958</v>
      </c>
      <c r="B780" s="298" t="s">
        <v>1626</v>
      </c>
    </row>
    <row r="781" spans="1:2">
      <c r="A781" s="299">
        <v>32026</v>
      </c>
      <c r="B781" s="298" t="s">
        <v>233</v>
      </c>
    </row>
    <row r="782" spans="1:2">
      <c r="A782" s="299">
        <v>29996</v>
      </c>
      <c r="B782" s="298" t="s">
        <v>813</v>
      </c>
    </row>
    <row r="783" spans="1:2">
      <c r="A783" s="299">
        <v>23544</v>
      </c>
      <c r="B783" s="298" t="s">
        <v>234</v>
      </c>
    </row>
    <row r="784" spans="1:2">
      <c r="A784" s="299">
        <v>32943</v>
      </c>
      <c r="B784" s="298" t="s">
        <v>1627</v>
      </c>
    </row>
    <row r="785" spans="1:2">
      <c r="A785" s="299">
        <v>32262</v>
      </c>
      <c r="B785" s="298" t="s">
        <v>529</v>
      </c>
    </row>
    <row r="786" spans="1:2">
      <c r="A786" s="297">
        <v>32536</v>
      </c>
      <c r="B786" s="296" t="s">
        <v>1233</v>
      </c>
    </row>
    <row r="787" spans="1:2">
      <c r="A787" s="297">
        <v>32536</v>
      </c>
      <c r="B787" s="296" t="s">
        <v>1234</v>
      </c>
    </row>
    <row r="788" spans="1:2">
      <c r="A788" s="297">
        <v>32536</v>
      </c>
      <c r="B788" s="296" t="s">
        <v>1235</v>
      </c>
    </row>
    <row r="789" spans="1:2">
      <c r="A789" s="297">
        <v>32536</v>
      </c>
      <c r="B789" s="296" t="s">
        <v>1236</v>
      </c>
    </row>
    <row r="790" spans="1:2">
      <c r="A790" s="297">
        <v>27980</v>
      </c>
      <c r="B790" s="296" t="s">
        <v>235</v>
      </c>
    </row>
    <row r="791" spans="1:2">
      <c r="A791" s="297">
        <v>27476</v>
      </c>
      <c r="B791" s="296" t="s">
        <v>236</v>
      </c>
    </row>
    <row r="792" spans="1:2">
      <c r="A792" s="299">
        <v>33662</v>
      </c>
      <c r="B792" s="298" t="s">
        <v>1763</v>
      </c>
    </row>
    <row r="793" spans="1:2">
      <c r="A793" s="299">
        <v>33733</v>
      </c>
      <c r="B793" s="298" t="s">
        <v>1766</v>
      </c>
    </row>
    <row r="794" spans="1:2">
      <c r="A794" s="309">
        <v>27507</v>
      </c>
      <c r="B794" s="671" t="s">
        <v>49</v>
      </c>
    </row>
    <row r="795" spans="1:2">
      <c r="A795" s="259">
        <v>33474</v>
      </c>
      <c r="B795" s="672" t="s">
        <v>1563</v>
      </c>
    </row>
    <row r="796" spans="1:2">
      <c r="A796" s="259">
        <v>29949</v>
      </c>
      <c r="B796" s="672" t="s">
        <v>1628</v>
      </c>
    </row>
    <row r="797" spans="1:2">
      <c r="A797" s="259">
        <v>30724</v>
      </c>
      <c r="B797" s="672" t="s">
        <v>2209</v>
      </c>
    </row>
    <row r="798" spans="1:2">
      <c r="A798" s="259">
        <v>34349</v>
      </c>
      <c r="B798" s="672" t="s">
        <v>1635</v>
      </c>
    </row>
    <row r="799" spans="1:2">
      <c r="A799" s="259">
        <v>35108</v>
      </c>
      <c r="B799" s="672" t="s">
        <v>2004</v>
      </c>
    </row>
    <row r="800" spans="1:2">
      <c r="A800" s="259">
        <v>34892</v>
      </c>
      <c r="B800" s="672" t="s">
        <v>426</v>
      </c>
    </row>
    <row r="801" spans="1:2">
      <c r="A801" s="259">
        <v>32645</v>
      </c>
      <c r="B801" s="672" t="s">
        <v>50</v>
      </c>
    </row>
    <row r="802" spans="1:2">
      <c r="A802" s="259">
        <v>34603</v>
      </c>
      <c r="B802" s="672" t="s">
        <v>1141</v>
      </c>
    </row>
    <row r="803" spans="1:2">
      <c r="A803" s="309">
        <v>29204</v>
      </c>
      <c r="B803" s="671" t="s">
        <v>1629</v>
      </c>
    </row>
    <row r="804" spans="1:2">
      <c r="A804" s="310">
        <v>29211</v>
      </c>
      <c r="B804" s="673" t="s">
        <v>1630</v>
      </c>
    </row>
    <row r="805" spans="1:2">
      <c r="A805" s="259">
        <v>28319</v>
      </c>
      <c r="B805" s="672" t="s">
        <v>1931</v>
      </c>
    </row>
    <row r="806" spans="1:2">
      <c r="A806" s="259">
        <v>34196</v>
      </c>
      <c r="B806" s="672" t="s">
        <v>630</v>
      </c>
    </row>
    <row r="807" spans="1:2">
      <c r="A807" s="259">
        <v>32756</v>
      </c>
      <c r="B807" s="672" t="s">
        <v>858</v>
      </c>
    </row>
    <row r="808" spans="1:2">
      <c r="A808" s="259">
        <v>32253</v>
      </c>
      <c r="B808" s="672" t="s">
        <v>859</v>
      </c>
    </row>
    <row r="809" spans="1:2">
      <c r="A809" s="310">
        <v>30279</v>
      </c>
      <c r="B809" s="673" t="s">
        <v>1932</v>
      </c>
    </row>
    <row r="810" spans="1:2">
      <c r="A810" s="259">
        <v>29152</v>
      </c>
      <c r="B810" s="672" t="s">
        <v>1933</v>
      </c>
    </row>
    <row r="811" spans="1:2">
      <c r="A811" s="259">
        <v>32054</v>
      </c>
      <c r="B811" s="672" t="s">
        <v>1147</v>
      </c>
    </row>
    <row r="812" spans="1:2">
      <c r="A812" s="309">
        <v>34783</v>
      </c>
      <c r="B812" s="671" t="s">
        <v>1028</v>
      </c>
    </row>
    <row r="813" spans="1:2">
      <c r="A813" s="309">
        <v>23748</v>
      </c>
      <c r="B813" s="671" t="s">
        <v>1148</v>
      </c>
    </row>
    <row r="814" spans="1:2">
      <c r="A814" s="259">
        <v>30105</v>
      </c>
      <c r="B814" s="672" t="s">
        <v>692</v>
      </c>
    </row>
    <row r="815" spans="1:2">
      <c r="A815" s="259">
        <v>30025</v>
      </c>
      <c r="B815" s="672" t="s">
        <v>1149</v>
      </c>
    </row>
    <row r="816" spans="1:2">
      <c r="A816" s="309">
        <v>27916</v>
      </c>
      <c r="B816" s="671" t="s">
        <v>1150</v>
      </c>
    </row>
    <row r="817" spans="1:2">
      <c r="A817" s="259">
        <v>28826</v>
      </c>
      <c r="B817" s="672" t="s">
        <v>1151</v>
      </c>
    </row>
    <row r="818" spans="1:2">
      <c r="A818" s="309">
        <v>27526</v>
      </c>
      <c r="B818" s="671" t="s">
        <v>551</v>
      </c>
    </row>
    <row r="819" spans="1:2">
      <c r="A819" s="259">
        <v>34622</v>
      </c>
      <c r="B819" s="672" t="s">
        <v>290</v>
      </c>
    </row>
    <row r="820" spans="1:2">
      <c r="A820" s="259">
        <v>28504</v>
      </c>
      <c r="B820" s="672" t="s">
        <v>552</v>
      </c>
    </row>
    <row r="821" spans="1:2">
      <c r="A821" s="259">
        <v>28772</v>
      </c>
      <c r="B821" s="672" t="s">
        <v>553</v>
      </c>
    </row>
    <row r="822" spans="1:2">
      <c r="A822" s="309">
        <v>28286</v>
      </c>
      <c r="B822" s="671" t="s">
        <v>2066</v>
      </c>
    </row>
    <row r="823" spans="1:2">
      <c r="A823" s="237">
        <v>34334</v>
      </c>
      <c r="B823" s="295" t="s">
        <v>984</v>
      </c>
    </row>
    <row r="824" spans="1:2">
      <c r="A824" s="309">
        <v>34674</v>
      </c>
      <c r="B824" s="671" t="s">
        <v>974</v>
      </c>
    </row>
    <row r="825" spans="1:2">
      <c r="A825" s="259">
        <v>33491</v>
      </c>
      <c r="B825" s="672" t="s">
        <v>1435</v>
      </c>
    </row>
    <row r="826" spans="1:2">
      <c r="A826" s="259">
        <v>32326</v>
      </c>
      <c r="B826" s="672" t="s">
        <v>2067</v>
      </c>
    </row>
    <row r="827" spans="1:2">
      <c r="A827" s="259">
        <v>33765</v>
      </c>
      <c r="B827" s="672" t="s">
        <v>547</v>
      </c>
    </row>
    <row r="828" spans="1:2">
      <c r="A828" s="259">
        <v>29151</v>
      </c>
      <c r="B828" s="672" t="s">
        <v>2068</v>
      </c>
    </row>
    <row r="829" spans="1:2">
      <c r="A829" s="259">
        <v>28581</v>
      </c>
      <c r="B829" s="672" t="s">
        <v>2224</v>
      </c>
    </row>
    <row r="830" spans="1:2">
      <c r="A830" s="259">
        <v>29351</v>
      </c>
      <c r="B830" s="672" t="s">
        <v>2225</v>
      </c>
    </row>
    <row r="831" spans="1:2">
      <c r="A831" s="259">
        <v>28659</v>
      </c>
      <c r="B831" s="672"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8">
        <v>1759.6266388076999</v>
      </c>
      <c r="C1" s="25"/>
      <c r="E1" t="s">
        <v>3106</v>
      </c>
      <c r="H1" t="s">
        <v>766</v>
      </c>
    </row>
    <row r="2" spans="1:8">
      <c r="A2" s="1345"/>
      <c r="B2" s="1346"/>
    </row>
    <row r="3" spans="1:8">
      <c r="A3" s="1345" t="s">
        <v>3117</v>
      </c>
      <c r="B3" s="898">
        <v>1759.9839688335551</v>
      </c>
      <c r="E3" s="898">
        <f t="shared" ref="E3:E9" si="0">$B3-$B$1</f>
        <v>0.3573300258551626</v>
      </c>
      <c r="F3" s="25"/>
      <c r="H3" s="898">
        <f t="shared" ref="H3:H9" si="1">$E3/$E$4</f>
        <v>0.43196864930599316</v>
      </c>
    </row>
    <row r="4" spans="1:8">
      <c r="A4" s="1345" t="s">
        <v>3118</v>
      </c>
      <c r="B4" s="898">
        <v>1760.4538516770349</v>
      </c>
      <c r="E4" s="898">
        <f t="shared" si="0"/>
        <v>0.8272128693349714</v>
      </c>
      <c r="F4" s="25"/>
      <c r="H4" s="898">
        <f t="shared" si="1"/>
        <v>1</v>
      </c>
    </row>
    <row r="5" spans="1:8">
      <c r="A5" s="1345" t="s">
        <v>3119</v>
      </c>
      <c r="B5" s="898">
        <v>1760.3124351132094</v>
      </c>
      <c r="E5" s="898">
        <f t="shared" si="0"/>
        <v>0.68579630550948423</v>
      </c>
      <c r="F5" s="25"/>
      <c r="H5" s="898">
        <f t="shared" si="1"/>
        <v>0.82904453125931488</v>
      </c>
    </row>
    <row r="6" spans="1:8">
      <c r="A6" s="1345" t="s">
        <v>3120</v>
      </c>
      <c r="B6" s="898">
        <v>1765.1766702748271</v>
      </c>
      <c r="E6" s="898">
        <f t="shared" si="0"/>
        <v>5.5500314671271553</v>
      </c>
      <c r="F6" s="25"/>
      <c r="H6" s="898">
        <f t="shared" si="1"/>
        <v>6.7093147034680944</v>
      </c>
    </row>
    <row r="7" spans="1:8">
      <c r="A7" s="1345" t="s">
        <v>3121</v>
      </c>
      <c r="B7" s="898">
        <v>1763.2980235467201</v>
      </c>
      <c r="E7" s="898">
        <f t="shared" si="0"/>
        <v>3.6713847390201408</v>
      </c>
      <c r="F7" s="25"/>
      <c r="H7" s="898">
        <f t="shared" si="1"/>
        <v>4.4382587301521434</v>
      </c>
    </row>
    <row r="8" spans="1:8">
      <c r="A8" s="1345" t="s">
        <v>3122</v>
      </c>
      <c r="B8" s="898">
        <v>1759.7495474090365</v>
      </c>
      <c r="E8" s="898">
        <f t="shared" si="0"/>
        <v>0.12290860133657588</v>
      </c>
      <c r="F8" s="25"/>
      <c r="H8" s="898">
        <f t="shared" si="1"/>
        <v>0.14858158751251888</v>
      </c>
    </row>
    <row r="9" spans="1:8">
      <c r="A9" s="1345" t="s">
        <v>3123</v>
      </c>
      <c r="B9" s="898">
        <v>1760.8052489540294</v>
      </c>
      <c r="E9" s="898">
        <f t="shared" si="0"/>
        <v>1.1786101463294472</v>
      </c>
      <c r="F9" s="25"/>
      <c r="H9" s="898">
        <f t="shared" si="1"/>
        <v>1.4247966757057076</v>
      </c>
    </row>
    <row r="10" spans="1:8">
      <c r="B10" s="898"/>
      <c r="E10" s="898"/>
      <c r="F10" s="25"/>
      <c r="H10" s="898"/>
    </row>
    <row r="11" spans="1:8">
      <c r="A11" s="1345" t="s">
        <v>3124</v>
      </c>
      <c r="B11" s="898">
        <v>1760.0197018361412</v>
      </c>
      <c r="E11" s="898">
        <f>$B11-$B$1</f>
        <v>0.3930630284412473</v>
      </c>
      <c r="F11" s="25"/>
      <c r="H11" s="898">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292</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4">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7">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7">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523</vt:i4>
      </vt:variant>
    </vt:vector>
  </HeadingPairs>
  <TitlesOfParts>
    <vt:vector size="560"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vt:lpstr>
      <vt:lpstr>BackEnchantStats</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vt:lpstr>
      <vt:lpstr>BootEnchantStats</vt:lpstr>
      <vt:lpstr>BootsStats</vt:lpstr>
      <vt:lpstr>bosscrit</vt:lpstr>
      <vt:lpstr>BossLevel</vt:lpstr>
      <vt:lpstr>BotSprocs</vt:lpstr>
      <vt:lpstr>BotSrate</vt:lpstr>
      <vt:lpstr>BracerEnchantList</vt:lpstr>
      <vt:lpstr>BracerEnchantStats</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vt:lpstr>
      <vt:lpstr>ChestEnchantStats</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GenSocketStats</vt:lpstr>
      <vt:lpstr>GloveEnchantList</vt:lpstr>
      <vt:lpstr>GloveEnchantStats</vt:lpstr>
      <vt:lpstr>Gloves</vt:lpstr>
      <vt:lpstr>GlovesStats</vt:lpstr>
      <vt:lpstr>gs</vt:lpstr>
      <vt:lpstr>hasmana</vt:lpstr>
      <vt:lpstr>Haste</vt:lpstr>
      <vt:lpstr>hasterate</vt:lpstr>
      <vt:lpstr>HDebuff</vt:lpstr>
      <vt:lpstr>HelmEnchantList</vt:lpstr>
      <vt:lpstr>HelmEnchantStats</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vt:lpstr>
      <vt:lpstr>LegEnchantStats</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vt:lpstr>
      <vt:lpstr>MHEnchantStats</vt:lpstr>
      <vt:lpstr>MHgdam</vt:lpstr>
      <vt:lpstr>MHgfact</vt:lpstr>
      <vt:lpstr>MHglan</vt:lpstr>
      <vt:lpstr>MHhit</vt:lpstr>
      <vt:lpstr>MHmiss</vt:lpstr>
      <vt:lpstr>MHnorm</vt:lpstr>
      <vt:lpstr>MHspd</vt:lpstr>
      <vt:lpstr>mhtemp</vt:lpstr>
      <vt:lpstr>MHTempEnchantList</vt:lpstr>
      <vt:lpstr>MHTempEnchantStats</vt:lpstr>
      <vt:lpstr>mhtype</vt:lpstr>
      <vt:lpstr>MHWeaponStats</vt:lpstr>
      <vt:lpstr>misery</vt:lpstr>
      <vt:lpstr>miseryimp</vt:lpstr>
      <vt:lpstr>mobtype</vt:lpstr>
      <vt:lpstr>mpsn</vt:lpstr>
      <vt:lpstr>mutilate</vt:lpstr>
      <vt:lpstr>nb2p</vt:lpstr>
      <vt:lpstr>nb4p</vt:lpstr>
      <vt:lpstr>Neck</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vt:lpstr>
      <vt:lpstr>OHEnchantStats</vt:lpstr>
      <vt:lpstr>OHgdam</vt:lpstr>
      <vt:lpstr>OHglan</vt:lpstr>
      <vt:lpstr>ohhit</vt:lpstr>
      <vt:lpstr>OHhitt</vt:lpstr>
      <vt:lpstr>OHmiss</vt:lpstr>
      <vt:lpstr>OHnorm</vt:lpstr>
      <vt:lpstr>ohspd</vt:lpstr>
      <vt:lpstr>ohtemp</vt:lpstr>
      <vt:lpstr>OHTempEnchantList</vt:lpstr>
      <vt:lpstr>OHTempEnchantStats</vt:lpstr>
      <vt:lpstr>ohtype</vt:lpstr>
      <vt:lpstr>OHWeaponStats</vt:lpstr>
      <vt:lpstr>opp</vt:lpstr>
      <vt:lpstr>OptDPSadj</vt:lpstr>
      <vt:lpstr>optionyesno</vt:lpstr>
      <vt:lpstr>physicaldps</vt:lpstr>
      <vt:lpstr>poison</vt:lpstr>
      <vt:lpstr>Qrec</vt:lpstr>
      <vt:lpstr>RacesList</vt:lpstr>
      <vt:lpstr>RacesStats</vt:lpstr>
      <vt:lpstr>raidcrit</vt:lpstr>
      <vt:lpstr>RangedStats</vt:lpstr>
      <vt:lpstr>relent</vt:lpstr>
      <vt:lpstr>RingEnchantList</vt:lpstr>
      <vt:lpstr>RingEnchantStats</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vt:lpstr>
      <vt:lpstr>ShoulderEnchantStats</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2021-06-04T15:51:55Z</dcterms:modified>
</cp:coreProperties>
</file>