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445DECA3-B69B-4D0B-81A8-F63F03EE1D2C}"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303" i="70" l="1"/>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5" i="70"/>
  <c r="Z64" i="70"/>
  <c r="AD64" i="70"/>
  <c r="U66" i="70"/>
  <c r="AC66" i="70" s="1"/>
  <c r="AA65" i="70" l="1"/>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9" authorId="0" shapeId="0" xr:uid="{00000000-0006-0000-0100-000001000000}">
      <text>
        <r>
          <rPr>
            <b/>
            <sz val="8"/>
            <color indexed="81"/>
            <rFont val="Tahoma"/>
            <family val="2"/>
          </rPr>
          <t>Author:</t>
        </r>
        <r>
          <rPr>
            <sz val="8"/>
            <color indexed="81"/>
            <rFont val="Tahoma"/>
            <family val="2"/>
          </rPr>
          <t xml:space="preserve">
fixed
a small Mongoose bug</t>
        </r>
      </text>
    </comment>
    <comment ref="A590"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1"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2"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3"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4"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5"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6"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7"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8"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9"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600"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1"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2"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3"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4"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5"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6"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7"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8"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9"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10"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1"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2"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3"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4"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5"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6"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7"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8"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9"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20"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1"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2"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3"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4"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5"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6"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7"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8"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9"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30"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1"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2"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3"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4"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5"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6"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7"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8"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9"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40"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1"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2"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3"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4"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5"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6"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<sst xmlns="http://schemas.openxmlformats.org/spreadsheetml/2006/main" count="8580" uniqueCount="3281">
  <si>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</si>
  <si>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</si>
  <si>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</si>
  <si>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</si>
  <si>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</si>
  <si>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</si>
  <si>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</si>
  <si>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</si>
  <si>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</si>
  <si>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</si>
  <si>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</si>
  <si>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</si>
  <si>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</si>
  <si>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</si>
  <si>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</si>
  <si>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</si>
  <si>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</si>
  <si>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</si>
  <si>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</si>
  <si>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</si>
  <si>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</si>
  <si>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</si>
  <si>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</si>
  <si>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</si>
  <si>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</si>
  <si>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</si>
  <si>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</si>
  <si>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</si>
  <si>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</si>
  <si>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</si>
  <si>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</si>
  <si>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</si>
  <si>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</si>
  <si>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</si>
  <si>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</si>
  <si>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</si>
  <si>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</si>
  <si>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</si>
  <si>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</si>
  <si>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</si>
  <si>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</si>
  <si>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</si>
  <si>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</si>
  <si>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</si>
  <si>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</si>
  <si>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</si>
  <si>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</si>
  <si>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</si>
  <si>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</si>
  <si>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</si>
  <si>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</si>
  <si>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</si>
  <si>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</si>
  <si>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</si>
  <si>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</si>
  <si>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</si>
  <si>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</si>
  <si>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</si>
  <si>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</si>
  <si>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</si>
  <si>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</si>
  <si>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</si>
  <si>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</si>
  <si>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</si>
  <si>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</si>
  <si>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</si>
  <si>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</si>
  <si>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</si>
  <si>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</si>
  <si>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</si>
  <si>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</si>
  <si>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</si>
  <si>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</si>
  <si>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</si>
  <si>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</si>
  <si>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</si>
  <si>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</si>
  <si>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</si>
  <si>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</si>
  <si>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</si>
  <si>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</si>
  <si>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</si>
  <si>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</si>
  <si>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</si>
  <si>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</si>
  <si>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</si>
  <si>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</si>
  <si>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</si>
  <si>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</si>
  <si>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</si>
  <si>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</si>
  <si>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</si>
  <si>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</si>
  <si>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</si>
  <si>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</si>
  <si>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</si>
  <si>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</si>
  <si>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</si>
  <si>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</si>
  <si>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</si>
  <si>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</si>
  <si>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</si>
  <si>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</si>
  <si>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</si>
  <si>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</si>
  <si>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</si>
  <si>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</si>
  <si>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</si>
  <si>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</si>
  <si>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</si>
  <si>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</si>
  <si>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</si>
  <si>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</si>
  <si>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</si>
  <si>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</si>
  <si>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</si>
  <si>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</si>
  <si>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</si>
  <si>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</si>
  <si>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</si>
  <si>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</si>
  <si>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</si>
  <si>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</si>
  <si>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</si>
  <si>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</si>
  <si>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</si>
  <si>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</si>
  <si>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</si>
  <si>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</si>
  <si>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</si>
  <si>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</si>
  <si>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</si>
  <si>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</si>
  <si>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</si>
  <si>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</si>
  <si>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</si>
  <si>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</si>
  <si>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</si>
  <si>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</si>
  <si>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</si>
  <si>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</si>
  <si>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</si>
  <si>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</si>
  <si>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</si>
  <si>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</si>
  <si>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</si>
  <si>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</si>
  <si>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</si>
  <si>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</si>
  <si>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</si>
  <si>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</si>
  <si>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</si>
  <si>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</si>
  <si>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</si>
  <si>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</si>
  <si>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</si>
  <si>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</si>
  <si>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</si>
  <si>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</si>
  <si>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</si>
  <si>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</si>
  <si>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</si>
  <si>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</si>
  <si>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</si>
  <si>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</si>
  <si>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</si>
  <si>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</si>
  <si>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</si>
  <si>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</si>
  <si>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</si>
  <si>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</si>
  <si>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</si>
  <si>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</si>
  <si>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</si>
  <si>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</si>
  <si>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</si>
  <si>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</si>
  <si>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</si>
  <si>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</si>
  <si>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</si>
  <si>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</si>
  <si>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</si>
  <si>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</si>
  <si>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</si>
  <si>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</si>
  <si>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</si>
  <si>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</si>
  <si>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</si>
  <si>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</si>
  <si>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</si>
  <si>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</si>
  <si>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</si>
  <si>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</si>
  <si>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</si>
  <si>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</si>
  <si>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</si>
  <si>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</si>
  <si>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</si>
  <si>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</si>
  <si>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</si>
  <si>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</si>
  <si>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</si>
  <si>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</si>
  <si>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</si>
  <si>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</si>
  <si>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</si>
  <si>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</si>
  <si>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</si>
  <si>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</si>
  <si>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</si>
  <si>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</si>
  <si>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</si>
  <si>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</si>
  <si>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</si>
  <si>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</si>
  <si>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</si>
  <si>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</si>
  <si>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</si>
  <si>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</si>
  <si>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</si>
  <si>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</si>
  <si>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</si>
  <si>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</si>
  <si>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</si>
  <si>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</si>
  <si>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</si>
  <si>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</si>
  <si>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</si>
  <si>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</si>
  <si>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</si>
  <si>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</si>
  <si>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</si>
  <si>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</si>
  <si>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</si>
  <si>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</si>
  <si>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</si>
  <si>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</si>
  <si>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</si>
  <si>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</si>
  <si>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</si>
  <si>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</si>
  <si>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</si>
  <si>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</si>
  <si>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</si>
  <si>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</si>
  <si>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</si>
  <si>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</si>
  <si>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</si>
  <si>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</si>
  <si>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</si>
  <si>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</si>
  <si>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</si>
  <si>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</si>
  <si>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</si>
  <si>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</si>
  <si>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</si>
  <si>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</si>
  <si>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</si>
  <si>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</si>
  <si>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</si>
  <si>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</si>
  <si>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</si>
  <si>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</si>
  <si>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</si>
  <si>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</si>
  <si>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</si>
  <si>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</si>
  <si>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</si>
  <si>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</si>
  <si>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</si>
  <si>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</si>
  <si>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</si>
  <si>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</si>
  <si>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</si>
  <si>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</si>
  <si>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</si>
  <si>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</si>
  <si>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</si>
  <si>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</si>
  <si>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</si>
  <si>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</si>
  <si>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</si>
  <si>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</si>
  <si>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</si>
  <si>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</si>
  <si>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</si>
  <si>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</si>
  <si>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</si>
  <si>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</si>
  <si>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</si>
  <si>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</si>
  <si>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</si>
  <si>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</si>
  <si>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</si>
  <si>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</si>
  <si>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</si>
  <si>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</si>
  <si>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</si>
  <si>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</si>
  <si>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</si>
  <si>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</si>
  <si>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</si>
  <si>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</si>
  <si>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</si>
  <si>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</si>
  <si>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</si>
  <si>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</si>
  <si>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</si>
  <si>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</si>
  <si>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</si>
  <si>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</si>
  <si>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</si>
  <si>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</si>
  <si>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</si>
  <si>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</si>
  <si>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</si>
  <si>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</si>
  <si>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</si>
  <si>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</si>
  <si>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</si>
  <si>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</si>
  <si>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</si>
  <si>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</si>
  <si>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</si>
  <si>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</si>
  <si>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</si>
  <si>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</si>
  <si>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</si>
  <si>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</si>
  <si>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</si>
  <si>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</si>
  <si>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</si>
  <si>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</si>
  <si>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</si>
  <si>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</si>
  <si>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</si>
  <si>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</si>
  <si>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</si>
  <si>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</si>
  <si>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</si>
  <si>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</si>
  <si>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</si>
  <si>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</si>
  <si>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</si>
  <si>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</si>
  <si>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</si>
  <si>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</si>
  <si>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</si>
  <si>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</si>
  <si>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</si>
  <si>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</si>
  <si>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</si>
  <si>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</si>
  <si>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</si>
  <si>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</si>
  <si>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</si>
  <si>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</si>
  <si>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</si>
  <si>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</si>
  <si>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</si>
  <si>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</si>
  <si>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</si>
  <si>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</si>
  <si>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</si>
  <si>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</si>
  <si>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</si>
  <si>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</si>
  <si>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</si>
  <si>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</si>
  <si>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</si>
  <si>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</si>
  <si>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</si>
  <si>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</si>
  <si>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</si>
  <si>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</si>
  <si>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</si>
  <si>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</si>
  <si>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</si>
  <si>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</si>
  <si>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</si>
  <si>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</si>
  <si>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</si>
  <si>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</si>
  <si>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</si>
  <si>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</si>
  <si>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</si>
  <si>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</si>
  <si>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</si>
  <si>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</si>
  <si>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</si>
  <si>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</si>
  <si>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</si>
  <si>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</si>
  <si>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</si>
  <si>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</si>
  <si>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</si>
  <si>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</si>
  <si>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</si>
  <si>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</si>
  <si>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</si>
  <si>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</si>
  <si>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</si>
  <si>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</si>
  <si>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</si>
  <si>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</si>
  <si>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</si>
  <si>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</si>
  <si>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</si>
  <si>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</si>
  <si>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</si>
  <si>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</si>
  <si>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</si>
  <si>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</si>
  <si>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</si>
  <si>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</si>
  <si>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</si>
  <si>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</si>
  <si>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</si>
  <si>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</si>
  <si>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</si>
  <si>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</si>
  <si>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</si>
  <si>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</si>
  <si>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</si>
  <si>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</si>
  <si>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</si>
  <si>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</si>
  <si>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</si>
  <si>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</si>
  <si>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</si>
  <si>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</si>
  <si>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</si>
  <si>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</si>
  <si>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</si>
  <si>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</si>
  <si>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</si>
  <si>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</si>
  <si>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</si>
  <si>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</si>
  <si>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</si>
  <si>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</si>
  <si>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</si>
  <si>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</si>
  <si>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</si>
  <si>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</si>
  <si>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</si>
  <si>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</si>
  <si>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</si>
  <si>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</si>
  <si>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</si>
  <si>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</si>
  <si>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</si>
  <si>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</si>
  <si>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</si>
  <si>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</si>
  <si>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</si>
  <si>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</si>
  <si>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</si>
  <si>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</si>
  <si>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</si>
  <si>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</si>
  <si>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</si>
  <si>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</si>
  <si>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</si>
  <si>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</si>
  <si>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</si>
  <si>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</si>
  <si>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</si>
  <si>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</si>
  <si>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</si>
  <si>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</si>
  <si>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</si>
  <si>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</si>
  <si>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</si>
  <si>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</si>
  <si>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</si>
  <si>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</si>
  <si>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</si>
  <si>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</si>
  <si>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</si>
  <si>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</si>
  <si>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</si>
  <si>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</si>
  <si>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</si>
  <si>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</si>
  <si>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</si>
  <si>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</si>
  <si>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</si>
  <si>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</si>
  <si>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</si>
  <si>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</si>
  <si>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</si>
  <si>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</si>
  <si>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</si>
  <si>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</si>
  <si>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</si>
  <si>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</si>
  <si>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</si>
  <si>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</si>
  <si>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</si>
  <si>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</si>
  <si>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</si>
  <si>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</si>
  <si>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</si>
  <si>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</si>
  <si>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</si>
  <si>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</si>
  <si>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</si>
  <si>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</si>
  <si>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</si>
  <si>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</si>
  <si>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</si>
  <si>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</si>
  <si>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</si>
  <si>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</si>
  <si>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</si>
  <si>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</si>
  <si>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</si>
  <si>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</si>
  <si>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</si>
  <si>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</si>
  <si>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</si>
  <si>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</si>
  <si>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</si>
  <si>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</si>
  <si>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</si>
  <si>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</si>
  <si>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</si>
  <si>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</si>
  <si>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</si>
  <si>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</si>
  <si>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</si>
  <si>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</si>
  <si>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</si>
  <si>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</si>
  <si>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</si>
  <si>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</si>
  <si>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</si>
  <si>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</si>
  <si>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</si>
  <si>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</si>
  <si>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</si>
  <si>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</si>
  <si>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</si>
  <si>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</si>
  <si>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</si>
  <si>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</si>
  <si>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</si>
  <si>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</si>
  <si>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</si>
  <si>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</si>
  <si>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</si>
  <si>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</si>
  <si>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</si>
  <si>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</si>
  <si>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</si>
  <si>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</si>
  <si>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</si>
  <si>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</si>
  <si>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</si>
  <si>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</si>
  <si>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</si>
  <si>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</si>
  <si>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</si>
  <si>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</si>
  <si>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</si>
  <si>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</si>
  <si>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</si>
  <si>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</si>
  <si>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</si>
  <si>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</si>
  <si>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</si>
  <si>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</si>
  <si>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</si>
  <si>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</si>
  <si>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</si>
  <si>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</si>
  <si>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</si>
  <si>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</si>
  <si>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</si>
  <si>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</si>
  <si>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</si>
  <si>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</si>
  <si>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</si>
  <si>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</si>
  <si>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</si>
  <si>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</si>
  <si>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</si>
  <si>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</si>
  <si>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</si>
  <si>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</si>
  <si>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</si>
  <si>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</si>
  <si>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</si>
  <si>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</si>
  <si>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</si>
  <si>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</si>
  <si>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</si>
  <si>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</si>
  <si>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</si>
  <si>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</si>
  <si>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</si>
  <si>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</si>
  <si>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</si>
  <si>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</si>
  <si>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</si>
  <si>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</si>
  <si>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</si>
  <si>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</si>
  <si>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</si>
  <si>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</si>
  <si>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</si>
  <si>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</si>
  <si>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</si>
  <si>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</si>
  <si>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</si>
  <si>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</si>
  <si>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</si>
  <si>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</si>
  <si>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</si>
  <si>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</si>
  <si>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</si>
  <si>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</si>
  <si>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</si>
  <si>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</si>
  <si>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</si>
  <si>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</si>
  <si>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</si>
  <si>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</si>
  <si>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</si>
  <si>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</si>
  <si>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</si>
  <si>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</si>
  <si>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</si>
  <si>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</si>
  <si>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</si>
  <si>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</si>
  <si>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</si>
  <si>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</si>
  <si>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</si>
  <si>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</si>
  <si>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</si>
  <si>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</si>
  <si>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</si>
  <si>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</si>
  <si>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</si>
  <si>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</si>
  <si>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</si>
  <si>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</si>
  <si>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</si>
  <si>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</si>
  <si>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</si>
  <si>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</si>
  <si>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</si>
  <si>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</si>
  <si>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</si>
  <si>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</si>
  <si>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</si>
  <si>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</si>
  <si>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</si>
  <si>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</si>
  <si>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</si>
  <si>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</si>
  <si>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</si>
  <si>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</si>
  <si>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</si>
  <si>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</si>
  <si>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</si>
  <si>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</si>
  <si>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</si>
  <si>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</si>
  <si>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</si>
  <si>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</si>
  <si>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</si>
  <si>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</si>
  <si>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</si>
  <si>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</si>
  <si>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</si>
  <si>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</si>
  <si>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</si>
  <si>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</si>
  <si>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</si>
  <si>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</si>
  <si>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</si>
  <si>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</si>
  <si>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</si>
  <si>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</si>
  <si>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</si>
  <si>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</si>
  <si>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</si>
  <si>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</si>
  <si>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</si>
  <si>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</si>
  <si>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</si>
  <si>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</si>
  <si>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</si>
  <si>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</si>
  <si>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</si>
  <si>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</si>
  <si>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</si>
  <si>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</si>
  <si>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</si>
  <si>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</si>
  <si>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</si>
  <si>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</si>
  <si>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</si>
  <si>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</si>
  <si>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</si>
  <si>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</si>
  <si>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</si>
  <si>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</si>
  <si>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</si>
  <si>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</si>
  <si>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</si>
  <si>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</si>
  <si>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</si>
  <si>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</si>
  <si>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</si>
  <si>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</si>
  <si>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</si>
  <si>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</si>
  <si>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</si>
  <si>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</si>
  <si>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</si>
  <si>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</si>
  <si>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</si>
  <si>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</si>
  <si>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</si>
  <si>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</si>
  <si>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</si>
  <si>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</si>
  <si>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</si>
  <si>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</si>
  <si>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</si>
  <si>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</si>
  <si>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</si>
  <si>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</si>
  <si>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</si>
  <si>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</si>
  <si>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</si>
  <si>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</si>
  <si>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</si>
  <si>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</si>
  <si>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</si>
  <si>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</si>
  <si>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</si>
  <si>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</si>
  <si>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</si>
  <si>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</si>
  <si>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</si>
  <si>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</si>
  <si>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</si>
  <si>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</si>
  <si>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</si>
  <si>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</si>
  <si>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</si>
  <si>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</si>
  <si>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</si>
  <si>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</si>
  <si>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</si>
  <si>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</si>
  <si>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</si>
  <si>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</si>
  <si>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</si>
  <si>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</si>
  <si>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</si>
  <si>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</si>
  <si>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</si>
  <si>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</si>
  <si>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</si>
  <si>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</si>
  <si>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</si>
  <si>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</si>
  <si>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</si>
  <si>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</si>
  <si>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</si>
  <si>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</si>
  <si>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</si>
  <si>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</si>
  <si>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</si>
  <si>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</si>
  <si>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</si>
  <si>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</si>
  <si>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</si>
  <si>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</si>
  <si>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</si>
  <si>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</si>
  <si>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</si>
  <si>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</si>
  <si>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</si>
  <si>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</si>
  <si>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</si>
  <si>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</si>
  <si>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</si>
  <si>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</si>
  <si>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</si>
  <si>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</si>
  <si>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</si>
  <si>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</si>
  <si>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</si>
  <si>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</si>
  <si>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</si>
  <si>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</si>
  <si>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</si>
  <si>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</si>
  <si>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</si>
  <si>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</si>
  <si>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</si>
  <si>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</si>
  <si>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</si>
  <si>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</si>
  <si>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</si>
  <si>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</si>
  <si>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</si>
  <si>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</si>
  <si>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</si>
  <si>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</si>
  <si>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</si>
  <si>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</si>
  <si>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</si>
  <si>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</si>
  <si>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</si>
  <si>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</si>
  <si>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</si>
  <si>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</si>
  <si>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</si>
  <si>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</si>
  <si>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</si>
  <si>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</si>
  <si>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</si>
  <si>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</si>
  <si>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</si>
  <si>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</si>
  <si>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</si>
  <si>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</si>
  <si>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</si>
  <si>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</si>
  <si>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</si>
  <si>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</si>
  <si>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</si>
  <si>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</si>
  <si>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</si>
  <si>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</si>
  <si>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</si>
  <si>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</si>
  <si>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</si>
  <si>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</si>
  <si>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</si>
  <si>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</si>
  <si>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</si>
  <si>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</si>
  <si>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</si>
  <si>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</si>
  <si>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</si>
  <si>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</si>
  <si>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</si>
  <si>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</si>
  <si>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</si>
  <si>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</si>
  <si>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</si>
  <si>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</si>
  <si>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</si>
  <si>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</si>
  <si>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</si>
  <si>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</si>
  <si>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</si>
  <si>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</si>
  <si>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</si>
  <si>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</si>
  <si>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</si>
  <si>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</si>
  <si>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</si>
  <si>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</si>
  <si>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</si>
  <si>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</si>
  <si>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</si>
  <si>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</si>
  <si>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</si>
  <si>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</si>
  <si>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</si>
  <si>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</si>
  <si>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</si>
  <si>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</si>
  <si>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</si>
  <si>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</si>
  <si>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</si>
  <si>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</si>
  <si>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</si>
  <si>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</si>
  <si>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</si>
  <si>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</si>
  <si>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</si>
  <si>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</si>
  <si>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</si>
  <si>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</si>
  <si>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</si>
  <si>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</si>
  <si>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</si>
  <si>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</si>
  <si>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</si>
  <si>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</si>
  <si>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</si>
  <si>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</si>
  <si>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</si>
  <si>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</si>
  <si>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</si>
  <si>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</si>
  <si>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</si>
  <si>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</si>
  <si>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</si>
  <si>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</si>
  <si>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</si>
  <si>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</si>
  <si>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</si>
  <si>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</si>
  <si>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</si>
  <si>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</si>
  <si>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</si>
  <si>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</si>
  <si>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</si>
  <si>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</si>
  <si>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</si>
  <si>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</si>
  <si>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</si>
  <si>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</si>
  <si>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</si>
  <si>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</si>
  <si>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</si>
  <si>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</si>
  <si>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</si>
  <si>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</si>
  <si>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</si>
  <si>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</si>
  <si>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</si>
  <si>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</si>
  <si>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</si>
  <si>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</si>
  <si>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</si>
  <si>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</si>
  <si>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</si>
  <si>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</si>
  <si>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</si>
  <si>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</si>
  <si>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</si>
  <si>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</si>
  <si>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</si>
  <si>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</si>
  <si>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</si>
  <si>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</si>
  <si>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</si>
  <si>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</si>
  <si>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</si>
  <si>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</si>
  <si>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</si>
  <si>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</si>
  <si>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</si>
  <si>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</si>
  <si>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</si>
  <si>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</si>
  <si>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</si>
  <si>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</si>
  <si>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</si>
  <si>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</si>
  <si>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</si>
  <si>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</si>
  <si>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</si>
  <si>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</si>
  <si>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</si>
  <si>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</si>
  <si>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</si>
  <si>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</si>
  <si>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</si>
  <si>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</si>
  <si>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</si>
  <si>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</si>
  <si>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</si>
  <si>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</si>
  <si>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</si>
  <si>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</si>
  <si>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</si>
  <si>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</si>
  <si>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</si>
  <si>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</si>
  <si>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</si>
  <si>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</si>
  <si>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</si>
  <si>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</si>
  <si>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</si>
  <si>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</si>
  <si>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</si>
  <si>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</si>
  <si>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</si>
  <si>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</si>
  <si>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</si>
  <si>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</si>
  <si>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</si>
  <si>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</si>
  <si>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</si>
  <si>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</si>
  <si>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</si>
  <si>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</si>
  <si>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</si>
  <si>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</si>
  <si>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</si>
  <si>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</si>
  <si>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</si>
  <si>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</si>
  <si>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</si>
  <si>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</si>
  <si>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</si>
  <si>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</si>
  <si>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</si>
  <si>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</si>
  <si>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</si>
  <si>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</si>
  <si>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</si>
  <si>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</si>
  <si>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</si>
  <si>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</si>
  <si>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</si>
  <si>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</si>
  <si>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</si>
  <si>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</si>
  <si>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</si>
  <si>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</si>
  <si>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</si>
  <si>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</si>
  <si>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</si>
  <si>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</si>
  <si>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</si>
  <si>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</si>
  <si>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</si>
  <si>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</si>
  <si>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</si>
  <si>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</si>
  <si>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</si>
  <si>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</si>
  <si>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</si>
  <si>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</si>
  <si>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</si>
  <si>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</si>
  <si>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</si>
  <si>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</si>
  <si>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</si>
  <si>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</si>
  <si>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</si>
  <si>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</si>
  <si>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</si>
  <si>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</si>
  <si>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</si>
  <si>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</si>
  <si>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</si>
  <si>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</si>
  <si>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</si>
  <si>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</si>
  <si>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</si>
  <si>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</si>
  <si>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</si>
  <si>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</si>
  <si>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</si>
  <si>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</si>
  <si>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</si>
  <si>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</si>
  <si>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</si>
  <si>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</si>
  <si>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</si>
  <si>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</si>
  <si>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</si>
  <si>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</si>
  <si>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</si>
  <si>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</si>
  <si>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</si>
  <si>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</si>
  <si>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</si>
  <si>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</si>
  <si>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</si>
  <si>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</si>
  <si>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</si>
  <si>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</si>
  <si>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</si>
  <si>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</si>
  <si>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</si>
  <si>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</si>
  <si>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</si>
  <si>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</si>
  <si>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</si>
  <si>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</si>
  <si>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</si>
  <si>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</si>
  <si>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</si>
  <si>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</si>
  <si>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</si>
  <si>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</si>
  <si>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</si>
  <si>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</si>
  <si>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</si>
  <si>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</si>
  <si>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</si>
  <si>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</si>
  <si>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</si>
  <si>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</si>
  <si>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</si>
  <si>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</si>
  <si>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</si>
  <si>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</si>
  <si>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</si>
  <si>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</si>
  <si>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</si>
  <si>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</si>
  <si>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</si>
  <si>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</si>
  <si>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</si>
  <si>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</si>
  <si>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</si>
  <si>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</si>
  <si>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</si>
  <si>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</si>
  <si>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</si>
  <si>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</si>
  <si>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</si>
  <si>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</si>
  <si>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</si>
  <si>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</si>
  <si>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</si>
  <si>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</si>
  <si>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</si>
  <si>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</si>
  <si>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</si>
  <si>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</si>
  <si>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</si>
  <si>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</si>
  <si>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</si>
  <si>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</si>
  <si>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</si>
  <si>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</si>
  <si>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</si>
  <si>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</si>
  <si>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</si>
  <si>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</si>
  <si>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</si>
  <si>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</si>
  <si>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</si>
  <si>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</si>
  <si>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</si>
  <si>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</si>
  <si>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</si>
  <si>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</si>
  <si>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</si>
  <si>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</si>
  <si>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</si>
  <si>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</si>
  <si>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</si>
  <si>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</si>
  <si>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</si>
  <si>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</si>
  <si>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</si>
  <si>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</si>
  <si>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</si>
  <si>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</si>
  <si>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</si>
  <si>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</si>
  <si>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</si>
  <si>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</si>
  <si>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</si>
  <si>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</si>
  <si>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</si>
  <si>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</si>
  <si>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</si>
  <si>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</si>
  <si>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</si>
  <si>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</si>
  <si>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</si>
  <si>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</si>
  <si>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</si>
  <si>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</si>
  <si>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</si>
  <si>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</si>
  <si>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</si>
  <si>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</si>
  <si>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</si>
  <si>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</si>
  <si>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</si>
  <si>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</si>
  <si>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</si>
  <si>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</si>
  <si>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</si>
  <si>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</si>
  <si>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</si>
  <si>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</si>
  <si>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</si>
  <si>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</si>
  <si>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</si>
  <si>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</si>
  <si>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</si>
  <si>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</si>
  <si>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</si>
  <si>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</si>
  <si>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</si>
  <si>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</si>
  <si>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</si>
  <si>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</si>
  <si>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</si>
  <si>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</si>
  <si>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</si>
  <si>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</si>
  <si>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</si>
  <si>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</si>
  <si>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</si>
  <si>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</si>
  <si>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</si>
  <si>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</si>
  <si>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</si>
  <si>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</si>
  <si>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</si>
  <si>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</si>
  <si>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</si>
  <si>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</si>
  <si>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</si>
  <si>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</si>
  <si>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</si>
  <si>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</si>
  <si>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</si>
  <si>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</si>
  <si>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</si>
  <si>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</si>
  <si>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</si>
  <si>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</si>
  <si>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</si>
  <si>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</si>
  <si>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</si>
  <si>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</si>
  <si>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</si>
  <si>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</si>
  <si>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</si>
  <si>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</si>
  <si>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</si>
  <si>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</si>
  <si>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</si>
  <si>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</si>
  <si>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</si>
  <si>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</si>
  <si>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</si>
  <si>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</si>
  <si>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</si>
  <si>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</si>
  <si>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</si>
  <si>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</si>
  <si>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</si>
  <si>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</si>
  <si>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</si>
  <si>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</si>
  <si>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</si>
  <si>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</si>
  <si>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</si>
  <si>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</si>
  <si>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</si>
  <si>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</si>
  <si>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</si>
  <si>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</si>
  <si>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</si>
  <si>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</si>
  <si>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</si>
  <si>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</si>
  <si>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</si>
  <si>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</si>
  <si>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</si>
  <si>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</si>
  <si>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</si>
  <si>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</si>
  <si>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</si>
  <si>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</si>
  <si>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</si>
  <si>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</si>
  <si>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</si>
  <si>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</si>
  <si>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</si>
  <si>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</si>
  <si>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</si>
  <si>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</si>
  <si>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</si>
  <si>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</si>
  <si>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</si>
  <si>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</si>
  <si>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</si>
  <si>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</si>
  <si>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</si>
  <si>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</si>
  <si>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</si>
  <si>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</si>
  <si>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</si>
  <si>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</si>
  <si>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</si>
  <si>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</si>
  <si>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</si>
  <si>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</si>
  <si>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</si>
  <si>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</si>
  <si>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</si>
  <si>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</si>
  <si>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</si>
  <si>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</si>
  <si>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</si>
  <si>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</si>
  <si>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</si>
  <si>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</si>
  <si>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</si>
  <si>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</si>
  <si>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</si>
  <si>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</si>
  <si>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</si>
  <si>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</si>
  <si>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</si>
  <si>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</si>
  <si>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</si>
  <si>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</si>
  <si>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</si>
  <si>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</si>
  <si>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</si>
  <si>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</si>
  <si>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</si>
  <si>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</si>
  <si>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</si>
  <si>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</si>
  <si>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</si>
  <si>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</si>
  <si>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</si>
  <si>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</si>
  <si>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</si>
  <si>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</si>
  <si>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</si>
  <si>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</si>
  <si>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</si>
  <si>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</si>
  <si>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</si>
  <si>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</si>
  <si>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</si>
  <si>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</si>
  <si>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</si>
  <si>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</si>
  <si>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</si>
  <si>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</si>
  <si>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</si>
  <si>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</si>
  <si>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</si>
  <si>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</si>
  <si>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</si>
  <si>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</si>
  <si>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</si>
  <si>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</si>
  <si>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</si>
  <si>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</si>
  <si>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</si>
  <si>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</si>
  <si>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</si>
  <si>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</si>
  <si>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</si>
  <si>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</si>
  <si>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</si>
  <si>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</si>
  <si>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</si>
  <si>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</si>
  <si>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</si>
  <si>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</si>
  <si>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</si>
  <si>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</si>
  <si>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</si>
  <si>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</si>
  <si>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</si>
  <si>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</si>
  <si>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</si>
  <si>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</si>
  <si>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</si>
  <si>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</si>
  <si>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</si>
  <si>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</si>
  <si>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</si>
  <si>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</si>
  <si>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</si>
  <si>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</si>
  <si>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</si>
  <si>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</si>
  <si>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</si>
  <si>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</si>
  <si>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</si>
  <si>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</si>
  <si>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</si>
  <si>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</si>
  <si>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</si>
  <si>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</si>
  <si>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</si>
  <si>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</si>
  <si>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</si>
  <si>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</si>
  <si>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</si>
  <si>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</si>
  <si>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</si>
  <si>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</si>
  <si>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</si>
  <si>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</si>
  <si>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</si>
  <si>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</si>
  <si>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</si>
  <si>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</si>
  <si>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</si>
  <si>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</si>
  <si>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</si>
  <si>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</si>
  <si>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</si>
  <si>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</si>
  <si>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</si>
  <si>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</si>
  <si>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</si>
  <si>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</si>
  <si>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</si>
  <si>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</si>
  <si>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</si>
  <si>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</si>
  <si>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</si>
  <si>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</si>
  <si>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</si>
  <si>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</si>
  <si>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</si>
  <si>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</si>
  <si>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</si>
  <si>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</si>
  <si>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</si>
  <si>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</si>
  <si>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</si>
  <si>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</si>
  <si>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</si>
  <si>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</si>
  <si>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</si>
  <si>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</si>
  <si>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</si>
  <si>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</si>
  <si>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</si>
  <si>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</si>
  <si>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</si>
  <si>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</si>
  <si>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</si>
  <si>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</si>
  <si>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</si>
  <si>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</si>
  <si>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</si>
  <si>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</si>
  <si>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</si>
  <si>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</si>
  <si>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</si>
  <si>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</si>
  <si>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</si>
  <si>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</si>
  <si>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</si>
  <si>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</si>
  <si>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</si>
  <si>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</si>
  <si>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</si>
  <si>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</si>
  <si>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</si>
  <si>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</si>
  <si>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</si>
  <si>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</si>
  <si>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</si>
  <si>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</si>
  <si>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</si>
  <si>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</si>
  <si>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</si>
  <si>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</si>
  <si>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</si>
  <si>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</si>
  <si>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</si>
  <si>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</si>
  <si>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</si>
  <si>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</si>
  <si>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</si>
  <si>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</si>
  <si>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</si>
  <si>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</si>
  <si>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</si>
  <si>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</si>
  <si>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</si>
  <si>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</si>
  <si>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</si>
  <si>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</si>
  <si>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</si>
  <si>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</si>
  <si>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</si>
  <si>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</si>
  <si>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</si>
  <si>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</si>
  <si>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</si>
  <si>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</si>
  <si>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</si>
  <si>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</si>
  <si>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</si>
  <si>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</si>
  <si>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</si>
  <si>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</si>
  <si>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</si>
  <si>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</si>
  <si>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</si>
  <si>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</si>
  <si>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</si>
  <si>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</si>
  <si>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</si>
  <si>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</si>
  <si>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</si>
  <si>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</si>
  <si>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</si>
  <si>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</si>
  <si>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</si>
  <si>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</si>
  <si>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</si>
  <si>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</si>
  <si>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</si>
  <si>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</si>
  <si>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</si>
  <si>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</si>
  <si>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</si>
  <si>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</si>
  <si>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</si>
  <si>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</si>
  <si>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</si>
  <si>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</si>
  <si>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</si>
  <si>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</si>
  <si>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</si>
  <si>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</si>
  <si>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</si>
  <si>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</si>
  <si>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</si>
  <si>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</si>
  <si>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</si>
  <si>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</si>
  <si>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</si>
  <si>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</si>
  <si>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</si>
  <si>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</si>
  <si>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</si>
  <si>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</si>
  <si>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</si>
  <si>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</si>
  <si>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</si>
  <si>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</si>
  <si>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</si>
  <si>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</si>
  <si>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</si>
  <si>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</si>
  <si>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</si>
  <si>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</si>
  <si>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</si>
  <si>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</si>
  <si>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</si>
  <si>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</si>
  <si>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</si>
  <si>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</si>
  <si>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</si>
  <si>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</si>
  <si>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</si>
  <si>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</si>
  <si>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</si>
  <si>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</si>
  <si>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</si>
  <si>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</si>
  <si>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</si>
  <si>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</si>
  <si>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</si>
  <si>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</si>
  <si>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</si>
  <si>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</si>
  <si>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</si>
  <si>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</si>
  <si>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</si>
  <si>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</si>
  <si>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</si>
  <si>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</si>
  <si>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</si>
  <si>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</si>
  <si>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</si>
  <si>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</si>
  <si>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</si>
  <si>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</si>
  <si>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</si>
  <si>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</si>
  <si>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</si>
  <si>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</si>
  <si>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</si>
  <si>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</si>
  <si>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</si>
  <si>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</si>
  <si>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</si>
  <si>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</si>
  <si>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</si>
  <si>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</si>
  <si>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</si>
  <si>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</si>
  <si>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</si>
  <si>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</si>
  <si>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</si>
  <si>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</si>
  <si>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</si>
  <si>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</si>
  <si>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</si>
  <si>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</si>
  <si>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</si>
  <si>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</si>
  <si>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</si>
  <si>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</si>
  <si>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</si>
  <si>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</si>
  <si>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</si>
  <si>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</si>
  <si>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</si>
  <si>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</si>
  <si>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</si>
  <si>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</si>
  <si>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</si>
  <si>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</si>
  <si>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</si>
  <si>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</si>
  <si>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</si>
  <si>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</si>
  <si>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</si>
  <si>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</si>
  <si>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</si>
  <si>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</si>
  <si>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</si>
  <si>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</si>
  <si>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</si>
  <si>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</si>
  <si>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</si>
  <si>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</si>
  <si>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</si>
  <si>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</si>
  <si>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</si>
  <si>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</si>
  <si>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</si>
  <si>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</si>
  <si>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</si>
  <si>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</si>
  <si>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</si>
  <si>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</si>
  <si>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</si>
  <si>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</si>
  <si>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</si>
  <si>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</si>
  <si>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</si>
  <si>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</si>
  <si>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</si>
  <si>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</si>
  <si>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</si>
  <si>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</si>
  <si>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</si>
  <si>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</si>
  <si>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</si>
  <si>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</si>
  <si>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</si>
  <si>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</si>
  <si>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</si>
  <si>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</si>
  <si>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</si>
  <si>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</si>
  <si>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</si>
  <si>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</si>
  <si>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</si>
  <si>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</si>
  <si>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</si>
  <si>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</si>
  <si>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</si>
  <si>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</si>
  <si>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</si>
  <si>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</si>
  <si>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</si>
  <si>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</si>
  <si>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</si>
  <si>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</si>
  <si>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</si>
  <si>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</si>
  <si>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</si>
  <si>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</si>
  <si>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</si>
  <si>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</si>
  <si>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</si>
  <si>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</si>
  <si>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</si>
  <si>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</si>
  <si>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</si>
  <si>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</si>
  <si>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</si>
  <si>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</si>
  <si>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</si>
  <si>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</si>
  <si>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</si>
  <si>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</si>
  <si>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</si>
  <si>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</si>
  <si>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</si>
  <si>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</si>
  <si>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</si>
  <si>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</si>
  <si>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</si>
  <si>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</si>
  <si>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</si>
  <si>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</si>
  <si>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</si>
  <si>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</si>
  <si>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</si>
  <si>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</si>
  <si>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</si>
  <si>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</si>
  <si>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</si>
  <si>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</si>
  <si>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</si>
  <si>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</si>
  <si>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</si>
  <si>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</si>
  <si>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</si>
  <si>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</si>
  <si>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</si>
  <si>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</si>
  <si>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</si>
  <si>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</si>
  <si>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</si>
  <si>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</si>
  <si>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</si>
  <si>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</si>
  <si>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</si>
  <si>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</si>
  <si>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</si>
  <si>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</si>
  <si>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</si>
  <si>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</si>
  <si>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</si>
  <si>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</si>
  <si>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</si>
  <si>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</si>
  <si>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</si>
  <si>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</si>
  <si>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</si>
  <si>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</si>
  <si>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</si>
  <si>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</si>
  <si>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</si>
  <si>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</si>
  <si>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</si>
  <si>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</si>
  <si>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</si>
  <si>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</si>
  <si>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</si>
  <si>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</si>
  <si>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</si>
  <si>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</si>
  <si>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</si>
  <si>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</si>
  <si>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</si>
  <si>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</si>
  <si>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</si>
  <si>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</si>
  <si>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</si>
  <si>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</si>
  <si>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</si>
  <si>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</si>
  <si>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</si>
  <si>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</si>
  <si>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</si>
  <si>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</si>
  <si>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</si>
  <si>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</si>
  <si>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</si>
  <si>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</si>
  <si>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</si>
  <si>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</si>
  <si>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</si>
  <si>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</si>
  <si>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</si>
  <si>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</si>
  <si>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</si>
  <si>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</si>
  <si>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</si>
  <si>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</si>
  <si>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</si>
  <si>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</si>
  <si>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</si>
  <si>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</si>
  <si>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</si>
  <si>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</si>
  <si>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</si>
  <si>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</si>
  <si>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</si>
  <si>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</si>
  <si>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</si>
  <si>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</si>
  <si>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</si>
  <si>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</si>
  <si>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</si>
  <si>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</si>
  <si>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</si>
  <si>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</si>
  <si>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</si>
  <si>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</si>
  <si>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</si>
  <si>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</si>
  <si>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</si>
  <si>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</si>
  <si>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</si>
  <si>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</si>
  <si>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</si>
  <si>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</si>
  <si>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</si>
  <si>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</si>
  <si>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</si>
  <si>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</si>
  <si>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</si>
  <si>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</si>
  <si>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</si>
  <si>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</si>
  <si>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</si>
  <si>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</si>
  <si>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</si>
  <si>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</si>
  <si>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</si>
  <si>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</si>
  <si>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</si>
  <si>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</si>
  <si>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</si>
  <si>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</si>
  <si>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</si>
  <si>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</si>
  <si>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</si>
  <si>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</si>
  <si>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</si>
  <si>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</si>
  <si>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</si>
  <si>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</si>
  <si>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</si>
  <si>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</si>
  <si>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</si>
  <si>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</si>
  <si>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</si>
  <si>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</si>
  <si>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</si>
  <si>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</si>
  <si>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</si>
  <si>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</si>
  <si>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</si>
  <si>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</si>
  <si>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</si>
  <si>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</si>
  <si>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</si>
  <si>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</si>
  <si>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</si>
  <si>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</si>
  <si>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</si>
  <si>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</si>
  <si>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</si>
  <si>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</si>
  <si>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</si>
  <si>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</si>
  <si>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</si>
  <si>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</si>
  <si>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</si>
  <si>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</si>
  <si>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</si>
  <si>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</si>
  <si>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</si>
  <si>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</si>
  <si>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</si>
  <si>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</si>
  <si>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</si>
  <si>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</si>
  <si>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</si>
  <si>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</si>
  <si>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</si>
  <si>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</si>
  <si>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</si>
  <si>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</si>
  <si>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</si>
  <si>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</si>
  <si>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</si>
  <si>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</si>
  <si>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</si>
  <si>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</si>
  <si>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</si>
  <si>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</si>
  <si>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</si>
  <si>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</si>
  <si>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</si>
  <si>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</si>
  <si>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</si>
  <si>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</si>
  <si>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</si>
  <si>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</si>
  <si>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</si>
  <si>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</si>
  <si>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</si>
  <si>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</si>
  <si>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</si>
  <si>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</si>
  <si>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</si>
  <si>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</si>
  <si>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</si>
  <si>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</si>
  <si>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</si>
  <si>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</si>
  <si>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</si>
  <si>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</si>
  <si>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</si>
  <si>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</si>
  <si>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</si>
  <si>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</si>
  <si>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</si>
  <si>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</si>
  <si>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</si>
  <si>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</si>
  <si>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</si>
  <si>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</si>
  <si>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</si>
  <si>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</si>
  <si>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</si>
  <si>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</si>
  <si>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</si>
  <si>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</si>
  <si>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</si>
  <si>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</si>
  <si>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</si>
  <si>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</si>
  <si>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</si>
  <si>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</si>
  <si>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</si>
  <si>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</si>
  <si>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</si>
  <si>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</si>
  <si>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</si>
  <si>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</si>
  <si>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</si>
  <si>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</si>
  <si>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</si>
  <si>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</si>
  <si>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</si>
  <si>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</si>
  <si>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</si>
  <si>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</si>
  <si>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</si>
  <si>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</si>
  <si>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</si>
  <si>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</si>
  <si>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</si>
  <si>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</si>
  <si>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</si>
  <si>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</si>
  <si>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</si>
  <si>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</si>
  <si>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</si>
  <si>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</si>
  <si>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</si>
  <si>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</si>
  <si>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</si>
  <si>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</si>
  <si>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</si>
  <si>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</si>
  <si>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</si>
  <si>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</si>
  <si>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</si>
  <si>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</si>
  <si>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</si>
  <si>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</si>
  <si>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</si>
  <si>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</si>
  <si>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</si>
  <si>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</si>
  <si>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</si>
  <si>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</si>
  <si>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</si>
  <si>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</si>
  <si>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</si>
  <si>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</si>
  <si>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</si>
  <si>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</si>
  <si>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</si>
  <si>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</si>
  <si>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</si>
  <si>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</si>
  <si>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</si>
  <si>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</si>
  <si>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</si>
  <si>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</si>
  <si>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</si>
  <si>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</si>
  <si>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</si>
  <si>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</si>
  <si>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</si>
  <si>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</si>
  <si>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</si>
  <si>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</si>
  <si>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</si>
  <si>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</si>
  <si>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</si>
  <si>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</si>
  <si>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</si>
  <si>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</si>
  <si>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</si>
  <si>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</si>
  <si>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</si>
  <si>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</si>
  <si>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</si>
  <si>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</si>
  <si>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</si>
  <si>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</si>
  <si>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</si>
  <si>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</si>
  <si>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</si>
  <si>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</si>
  <si>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</si>
  <si>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</si>
  <si>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</si>
  <si>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</si>
  <si>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</si>
  <si>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</si>
  <si>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</si>
  <si>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</si>
  <si>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</si>
  <si>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</si>
  <si>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</si>
  <si>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</si>
  <si>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</si>
  <si>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</si>
  <si>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</si>
  <si>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</si>
  <si>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</si>
  <si>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</si>
  <si>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</si>
  <si>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</si>
  <si>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</si>
  <si>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</si>
  <si>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</si>
  <si>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</si>
  <si>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</si>
  <si>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</si>
  <si>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</si>
  <si>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</si>
  <si>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</si>
  <si>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</si>
  <si>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</si>
  <si>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</si>
  <si>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</si>
  <si>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</si>
  <si>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</si>
  <si>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</si>
  <si>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</si>
  <si>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</si>
  <si>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</si>
  <si>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</si>
  <si>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</si>
  <si>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</si>
  <si>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</si>
  <si>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</si>
  <si>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</si>
  <si>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</si>
  <si>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</si>
  <si>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</si>
  <si>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</si>
  <si>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</si>
  <si>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</si>
  <si>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</si>
  <si>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</si>
  <si>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</si>
  <si>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</si>
  <si>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</si>
  <si>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</si>
  <si>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</si>
  <si>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</si>
  <si>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</si>
  <si>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</si>
  <si>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</si>
  <si>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</si>
  <si>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</si>
  <si>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</si>
  <si>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</si>
  <si>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</si>
  <si>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</si>
  <si>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</si>
  <si>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</si>
  <si>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</si>
  <si>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</si>
  <si>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</si>
  <si>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</si>
  <si>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</si>
  <si>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</si>
  <si>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</si>
  <si>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</si>
  <si>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</si>
  <si>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</si>
  <si>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</si>
  <si>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</si>
  <si>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</si>
  <si>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</si>
  <si>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</si>
  <si>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</si>
  <si>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</si>
  <si>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</si>
  <si>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</si>
  <si>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</si>
  <si>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</si>
  <si>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</si>
  <si>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</si>
  <si>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</si>
  <si>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</si>
  <si>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</si>
  <si>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</si>
  <si>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</si>
  <si>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</si>
  <si>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</si>
  <si>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</si>
  <si>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</si>
  <si>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</si>
  <si>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</si>
  <si>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</si>
  <si>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</si>
  <si>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</si>
  <si>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</si>
  <si>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</si>
  <si>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</si>
  <si>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</si>
  <si>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</si>
  <si>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</si>
  <si>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</si>
  <si>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</si>
  <si>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</si>
  <si>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</si>
  <si>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</si>
  <si>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</si>
  <si>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</si>
  <si>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</si>
  <si>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</si>
  <si>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</si>
  <si>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</si>
  <si>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</si>
  <si>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</si>
  <si>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</si>
  <si>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</si>
  <si>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</si>
  <si>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</si>
  <si>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</si>
  <si>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</si>
  <si>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</si>
  <si>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</si>
  <si>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</si>
  <si>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</si>
  <si>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</si>
  <si>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</si>
  <si>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</si>
  <si>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</si>
  <si>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</si>
  <si>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</si>
  <si>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</si>
  <si>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</si>
  <si>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</si>
  <si>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</si>
  <si>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</si>
  <si>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</si>
  <si>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</si>
  <si>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</si>
  <si>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</si>
  <si>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</si>
  <si>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</si>
  <si>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</si>
  <si>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</si>
  <si>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</si>
  <si>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</si>
  <si>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</si>
  <si>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</si>
  <si>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</si>
  <si>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</si>
  <si>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</si>
  <si>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</si>
  <si>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</si>
  <si>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</si>
  <si>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</si>
  <si>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</si>
  <si>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</si>
  <si>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</si>
  <si>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</si>
  <si>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</si>
  <si>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</si>
  <si>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</si>
  <si>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</si>
  <si>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</si>
  <si>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</si>
  <si>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</si>
  <si>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</si>
  <si>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</si>
  <si>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</si>
  <si>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</si>
  <si>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</si>
  <si>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</si>
  <si>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</si>
  <si>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</si>
  <si>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</si>
  <si>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</si>
  <si>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</si>
  <si>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</si>
  <si>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</si>
  <si>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</si>
  <si>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</si>
  <si>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</si>
  <si>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</si>
  <si>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</si>
  <si>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</si>
  <si>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</si>
  <si>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</si>
  <si>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</si>
  <si>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</si>
  <si>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</si>
  <si>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</si>
  <si>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</si>
  <si>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</si>
  <si>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</si>
  <si>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</si>
  <si>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</si>
  <si>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</si>
  <si>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</si>
  <si>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</si>
  <si>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</si>
  <si>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</si>
  <si>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</si>
  <si>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</si>
  <si>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</si>
  <si>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</si>
  <si>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</si>
  <si>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</si>
  <si>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</si>
  <si>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</si>
  <si>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</si>
  <si>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</si>
  <si>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</si>
  <si>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</si>
  <si>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</si>
  <si>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</si>
  <si>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</si>
  <si>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</si>
  <si>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</si>
  <si>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</si>
  <si>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</si>
  <si>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</si>
  <si>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</si>
  <si>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</si>
  <si>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</si>
  <si>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</si>
  <si>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</si>
  <si>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</si>
  <si>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</si>
  <si>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</si>
  <si>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</si>
  <si>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</si>
  <si>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</si>
  <si>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</si>
  <si>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</si>
  <si>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</si>
  <si>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</si>
  <si>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</si>
  <si>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</si>
  <si>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</si>
  <si>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</si>
  <si>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</si>
  <si>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</si>
  <si>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</si>
  <si>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</si>
  <si>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</si>
  <si>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</si>
  <si>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</si>
  <si>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</si>
  <si>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</si>
  <si>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</si>
  <si>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</si>
  <si>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</si>
  <si>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</si>
  <si>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</si>
  <si>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</si>
  <si>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</si>
  <si>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</si>
  <si>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</si>
  <si>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</si>
  <si>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</si>
  <si>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</si>
  <si>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</si>
  <si>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</si>
  <si>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</si>
  <si>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</si>
  <si>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</si>
  <si>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</si>
  <si>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</si>
  <si>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</si>
  <si>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</si>
  <si>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</si>
  <si>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</si>
  <si>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</si>
  <si>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</si>
  <si>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</si>
  <si>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</si>
  <si>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</si>
  <si>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</si>
  <si>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</si>
  <si>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</si>
  <si>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</si>
  <si>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</si>
  <si>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</si>
  <si>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</si>
  <si>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</si>
  <si>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</si>
  <si>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</si>
  <si>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</si>
  <si>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</si>
  <si>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</si>
  <si>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</si>
  <si>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</si>
  <si>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</si>
  <si>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</si>
  <si>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</si>
  <si>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</si>
  <si>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</si>
  <si>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</si>
  <si>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</si>
  <si>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</si>
  <si>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</si>
  <si>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</si>
  <si>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</si>
  <si>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</si>
  <si>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</si>
  <si>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</si>
  <si>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</si>
  <si>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</si>
  <si>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</si>
  <si>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</si>
  <si>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</si>
  <si>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</si>
  <si>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</si>
  <si>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</si>
  <si>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</si>
  <si>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</si>
  <si>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</si>
  <si>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</si>
  <si>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</si>
  <si>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</si>
  <si>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</si>
  <si>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</si>
  <si>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</si>
  <si>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</si>
  <si>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</si>
  <si>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</si>
  <si>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</si>
  <si>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</si>
  <si>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</si>
  <si>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</si>
  <si>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</si>
  <si>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</si>
  <si>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</si>
  <si>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</si>
  <si>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</si>
  <si>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</si>
  <si>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</si>
  <si>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</si>
  <si>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</si>
  <si>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</si>
  <si>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</si>
  <si>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</si>
  <si>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</si>
  <si>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</si>
  <si>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</si>
  <si>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</si>
  <si>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</si>
  <si>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</si>
  <si>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</si>
  <si>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</si>
  <si>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</si>
  <si>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</si>
  <si>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</si>
  <si>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</si>
  <si>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</si>
  <si>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</si>
  <si>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</si>
  <si>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</si>
  <si>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</si>
  <si>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</si>
  <si>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</si>
  <si>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</si>
  <si>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</si>
  <si>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</si>
  <si>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</si>
  <si>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</si>
  <si>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</si>
  <si>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</si>
  <si>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</si>
  <si>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</si>
  <si>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</si>
  <si>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</si>
  <si>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</si>
  <si>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</si>
  <si>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</si>
  <si>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</si>
  <si>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</si>
  <si>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</si>
  <si>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</si>
  <si>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</si>
  <si>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</si>
  <si>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</si>
  <si>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</si>
  <si>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</si>
  <si>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</si>
  <si>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</si>
  <si>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</si>
  <si>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</si>
  <si>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</si>
  <si>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</si>
  <si>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</si>
  <si>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</si>
  <si>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</si>
  <si>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</si>
  <si>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</si>
  <si>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</si>
  <si>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</si>
  <si>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</si>
  <si>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</si>
  <si>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</si>
  <si>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</si>
  <si>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</si>
  <si>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</si>
  <si>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</si>
  <si>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</si>
  <si>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</si>
  <si>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</si>
  <si>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</si>
  <si>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</si>
  <si>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</si>
  <si>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</si>
  <si>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</si>
  <si>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</si>
  <si>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</si>
  <si>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</si>
  <si>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</si>
  <si>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</si>
  <si>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</si>
  <si>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</si>
  <si>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</si>
  <si>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</si>
  <si>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</si>
  <si>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</si>
  <si>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</si>
  <si>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</si>
  <si>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</si>
  <si>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</si>
  <si>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</si>
  <si>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</si>
  <si>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</si>
  <si>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</si>
  <si>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</si>
  <si>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</si>
  <si>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</si>
  <si>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</si>
  <si>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</si>
  <si>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</si>
  <si>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</si>
  <si>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</si>
  <si>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</si>
  <si>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</si>
  <si>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</si>
  <si>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</si>
  <si>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</si>
  <si>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</si>
  <si>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</si>
  <si>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</si>
  <si>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</si>
  <si>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</si>
  <si>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</si>
  <si>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</si>
  <si>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</si>
  <si>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</si>
  <si>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</si>
  <si>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</si>
  <si>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</si>
  <si>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</si>
  <si>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</si>
  <si>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</si>
  <si>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</si>
  <si>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</si>
  <si>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</si>
  <si>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</si>
  <si>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</si>
  <si>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</si>
  <si>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</si>
  <si>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</si>
  <si>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</si>
  <si>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</si>
  <si>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</si>
  <si>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</si>
  <si>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</si>
  <si>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</si>
  <si>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</si>
  <si>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</si>
  <si>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</si>
  <si>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</si>
  <si>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</si>
  <si>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</si>
  <si>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</si>
  <si>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</si>
  <si>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</si>
  <si>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</si>
  <si>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</si>
  <si>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</si>
  <si>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</si>
  <si>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</si>
  <si>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</si>
  <si>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</si>
  <si>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</si>
  <si>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</si>
  <si>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</si>
  <si>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</si>
  <si>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</si>
  <si>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</si>
  <si>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</si>
  <si>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</si>
  <si>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</si>
  <si>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</si>
  <si>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</si>
  <si>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</si>
  <si>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</si>
  <si>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</si>
  <si>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</si>
  <si>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</si>
  <si>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</si>
  <si>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</si>
  <si>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</si>
  <si>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</si>
  <si>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</si>
  <si>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</si>
  <si>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</si>
  <si>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</si>
  <si>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</si>
  <si>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</si>
  <si>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</si>
  <si>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</si>
  <si>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</si>
  <si>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</si>
  <si>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</si>
  <si>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</si>
  <si>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</si>
  <si>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</si>
  <si>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</si>
  <si>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</si>
  <si>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</si>
  <si>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</si>
  <si>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</si>
  <si>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</si>
  <si>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</si>
  <si>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</si>
  <si>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</si>
  <si>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</si>
  <si>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</si>
  <si>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</si>
  <si>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</si>
  <si>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</si>
  <si>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</si>
  <si>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</si>
  <si>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</si>
  <si>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</si>
  <si>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</si>
  <si>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</si>
  <si>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</si>
  <si>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</si>
  <si>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</si>
  <si>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</si>
  <si>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</si>
  <si>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</si>
  <si>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</si>
  <si>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</si>
  <si>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</si>
  <si>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</si>
  <si>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</si>
  <si>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</si>
  <si>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</si>
  <si>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</si>
  <si>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</si>
  <si>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</si>
  <si>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</si>
  <si>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</si>
  <si>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</si>
  <si>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</si>
  <si>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</si>
  <si>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</si>
  <si>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</si>
  <si>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</si>
  <si>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</si>
  <si>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</si>
  <si>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</si>
  <si>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</si>
  <si>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</si>
  <si>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</si>
  <si>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</si>
  <si>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</si>
  <si>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</si>
  <si>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</si>
  <si>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</si>
  <si>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</si>
  <si>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</si>
  <si>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</si>
  <si>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</si>
  <si>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</si>
  <si>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</si>
  <si>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</si>
  <si>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</si>
  <si>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</si>
  <si>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</si>
  <si>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</si>
  <si>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</si>
  <si>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</si>
  <si>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</si>
  <si>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</si>
  <si>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</si>
  <si>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</si>
  <si>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</si>
  <si>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</si>
  <si>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</si>
  <si>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</si>
  <si>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</si>
  <si>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</si>
  <si>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</si>
  <si>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</si>
  <si>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</si>
  <si>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</si>
  <si>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</si>
  <si>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</si>
  <si>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</si>
  <si>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</si>
  <si>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</si>
  <si>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</si>
  <si>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</si>
  <si>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</si>
  <si>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</si>
  <si>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</si>
  <si>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</si>
  <si>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</si>
  <si>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</si>
  <si>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</si>
  <si>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</si>
  <si>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</si>
  <si>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</si>
  <si>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</si>
  <si>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</si>
  <si>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</si>
  <si>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</si>
  <si>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</si>
  <si>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</si>
  <si>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</si>
  <si>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</si>
  <si>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</si>
  <si>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</si>
  <si>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</si>
  <si>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</si>
  <si>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</si>
  <si>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</si>
  <si>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</si>
  <si>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</si>
  <si>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</si>
  <si>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</si>
  <si>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</si>
  <si>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</si>
  <si>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</si>
  <si>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</si>
  <si>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</si>
  <si>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</si>
  <si>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</si>
  <si>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</si>
  <si>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</si>
  <si>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</si>
  <si>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</si>
  <si>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</si>
  <si>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</si>
  <si>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</si>
  <si>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</si>
  <si>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</si>
  <si>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</si>
  <si>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</si>
  <si>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</si>
  <si>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</si>
  <si>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</si>
  <si>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</si>
  <si>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</si>
  <si>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</si>
  <si>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</si>
  <si>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</si>
  <si>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</si>
  <si>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</si>
  <si>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</si>
  <si>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</si>
  <si>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</si>
  <si>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</si>
  <si>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</si>
  <si>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</si>
  <si>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</si>
  <si>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</si>
  <si>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</si>
  <si>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</si>
  <si>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</si>
  <si>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</si>
  <si>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</si>
  <si>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</si>
  <si>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</si>
  <si>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</si>
  <si>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</si>
  <si>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</si>
  <si>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</si>
  <si>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</si>
  <si>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</si>
  <si>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</si>
  <si>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</si>
  <si>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</si>
  <si>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</si>
  <si>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</si>
  <si>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</si>
  <si>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</si>
  <si>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</si>
  <si>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</si>
  <si>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</si>
  <si>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</si>
  <si>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</si>
  <si>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</si>
  <si>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</si>
  <si>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</si>
  <si>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</si>
  <si>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</si>
  <si>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</si>
  <si>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</si>
  <si>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</si>
  <si>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</si>
  <si>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</si>
  <si>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</si>
  <si>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</si>
  <si>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</si>
  <si>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</si>
  <si>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</si>
  <si>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</si>
  <si>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</si>
  <si>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</si>
  <si>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</si>
  <si>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</si>
  <si>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</si>
  <si>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</si>
  <si>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</si>
  <si>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</si>
  <si>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</si>
  <si>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</si>
  <si>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</si>
  <si>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</si>
  <si>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</si>
  <si>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</si>
  <si>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</si>
  <si>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</si>
  <si>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</si>
  <si>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</si>
  <si>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</si>
  <si>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</si>
  <si>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</si>
  <si>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</si>
  <si>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</si>
  <si>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</si>
  <si>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</si>
  <si>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</si>
  <si>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</si>
  <si>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</si>
  <si>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</si>
  <si>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</si>
  <si>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</si>
  <si>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</si>
  <si>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</si>
  <si>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</si>
  <si>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</si>
  <si>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</si>
  <si>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</si>
  <si>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</si>
  <si>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</si>
  <si>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</si>
  <si>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</si>
  <si>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</si>
  <si>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</si>
  <si>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</si>
  <si>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</si>
  <si>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</si>
  <si>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</si>
  <si>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</si>
  <si>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</si>
  <si>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</si>
  <si>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</si>
  <si>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</si>
  <si>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</si>
  <si>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</si>
  <si>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</si>
  <si>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</si>
  <si>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</si>
  <si>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</si>
  <si>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</si>
  <si>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</si>
  <si>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</si>
  <si>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</si>
  <si>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</si>
  <si>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</si>
  <si>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</si>
  <si>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</si>
  <si>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</si>
  <si>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</si>
  <si>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</si>
  <si>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</si>
  <si>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</si>
  <si>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</si>
  <si>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</si>
  <si>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</si>
  <si>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</si>
  <si>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</si>
  <si>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</si>
  <si>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</si>
  <si>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</si>
  <si>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</si>
  <si>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</si>
  <si>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</si>
  <si>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</si>
  <si>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</si>
  <si>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</si>
  <si>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</si>
  <si>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</si>
  <si>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</si>
  <si>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</si>
  <si>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</si>
  <si>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</si>
  <si>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</si>
  <si>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</si>
  <si>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</si>
  <si>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</si>
  <si>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</si>
  <si>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</si>
  <si>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</si>
  <si>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</si>
  <si>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</si>
  <si>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</si>
  <si>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</si>
  <si>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</si>
  <si>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</si>
  <si>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</si>
  <si>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</si>
  <si>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</si>
  <si>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</si>
  <si>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</si>
  <si>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</si>
  <si>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</si>
  <si>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</si>
  <si>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</si>
  <si>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</si>
  <si>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</si>
  <si>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</si>
  <si>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</si>
  <si>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</si>
  <si>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</si>
  <si>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</si>
  <si>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</si>
  <si>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</si>
  <si>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</si>
  <si>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</si>
  <si>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</si>
  <si>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</si>
  <si>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</si>
  <si>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</si>
  <si>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</si>
  <si>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</si>
  <si>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</si>
  <si>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</si>
  <si>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</si>
  <si>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</si>
  <si>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</si>
  <si>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</si>
  <si>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</si>
  <si>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</si>
  <si>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</si>
  <si>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</si>
  <si>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</si>
  <si>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</si>
  <si>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</si>
  <si>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</si>
  <si>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</si>
  <si>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</si>
  <si>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</si>
  <si>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</si>
  <si>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</si>
  <si>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</si>
  <si>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</si>
  <si>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</si>
  <si>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</si>
  <si>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</si>
  <si>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</si>
  <si>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</si>
  <si>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</si>
  <si>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</si>
  <si>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</si>
  <si>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</si>
  <si>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</si>
  <si>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</si>
  <si>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</si>
  <si>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</si>
  <si>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</si>
  <si>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</si>
  <si>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</si>
  <si>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</si>
  <si>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</si>
  <si>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</si>
  <si>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</si>
  <si>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</si>
  <si>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</si>
  <si>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</si>
  <si>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</si>
  <si>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</si>
  <si>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</si>
  <si>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</si>
  <si>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</si>
  <si>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</si>
  <si>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</si>
  <si>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</si>
  <si>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</si>
  <si>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</si>
  <si>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</si>
  <si>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</si>
  <si>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</si>
  <si>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</si>
  <si>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</si>
  <si>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</si>
  <si>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</si>
  <si>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</si>
  <si>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</si>
  <si>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</si>
  <si>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</si>
  <si>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</si>
  <si>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</si>
  <si>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</si>
  <si>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</si>
  <si>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</si>
  <si>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</si>
  <si>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</si>
  <si>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</si>
  <si>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</si>
  <si>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</si>
  <si>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</si>
  <si>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</si>
  <si>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</si>
  <si>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</si>
  <si>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</si>
  <si>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</si>
  <si>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</si>
  <si>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</si>
  <si>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</si>
  <si>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</si>
  <si>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</si>
  <si>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</si>
  <si>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</si>
  <si>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</si>
  <si>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</si>
  <si>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</si>
  <si>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</si>
  <si>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</si>
  <si>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</si>
  <si>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</si>
  <si>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</si>
  <si>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</si>
  <si>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</si>
  <si>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</si>
  <si>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</si>
  <si>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</si>
  <si>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</si>
  <si>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</si>
  <si>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</si>
  <si>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</si>
  <si>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</si>
  <si>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</si>
  <si>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</si>
  <si>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</si>
  <si>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</si>
  <si>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</si>
  <si>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</si>
  <si>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</si>
  <si>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</si>
  <si>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</si>
  <si>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</si>
  <si>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</si>
  <si>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</si>
  <si>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</si>
  <si>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</si>
  <si>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</si>
  <si>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</si>
  <si>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</si>
  <si>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</si>
  <si>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</si>
  <si>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</si>
  <si>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</si>
  <si>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</si>
  <si>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</si>
  <si>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</si>
  <si>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</si>
  <si>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</si>
  <si>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</si>
  <si>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</si>
  <si>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</si>
  <si>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</si>
  <si>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</si>
  <si>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</si>
  <si>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</si>
  <si>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</si>
  <si>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</si>
  <si>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</si>
  <si>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</si>
  <si>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</si>
  <si>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</si>
  <si>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</si>
  <si>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</si>
  <si>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</si>
  <si>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</si>
  <si>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</si>
  <si>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</si>
  <si>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</si>
  <si>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</si>
  <si>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</si>
  <si>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</si>
  <si>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</si>
  <si>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</si>
  <si>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</si>
  <si>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</si>
  <si>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</si>
  <si>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</si>
  <si>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</si>
  <si>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</si>
  <si>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</si>
  <si>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</si>
  <si>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</si>
  <si>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</si>
  <si>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</si>
  <si>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</si>
  <si>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</si>
  <si>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</si>
  <si>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</si>
  <si>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</si>
  <si>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</si>
  <si>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</si>
  <si>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</si>
  <si>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</si>
  <si>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</si>
  <si>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</si>
  <si>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</si>
  <si>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</si>
  <si>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</si>
  <si>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</si>
  <si>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</si>
  <si>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</si>
  <si>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</si>
  <si>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</si>
  <si>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</si>
  <si>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</si>
  <si>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</si>
  <si>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</si>
  <si>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</si>
  <si>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</si>
  <si>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</si>
  <si>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</si>
  <si>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</si>
  <si>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</si>
  <si>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</si>
  <si>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</si>
  <si>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</si>
  <si>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</si>
  <si>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</si>
  <si>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</si>
  <si>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</si>
  <si>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</si>
  <si>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</si>
  <si>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</si>
  <si>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</si>
  <si>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</si>
  <si>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</si>
  <si>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</si>
  <si>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</si>
  <si>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</si>
  <si>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</si>
  <si>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</si>
  <si>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</si>
  <si>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</si>
  <si>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</si>
  <si>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</si>
  <si>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</si>
  <si>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</si>
  <si>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</si>
  <si>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</si>
  <si>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</si>
  <si>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</si>
  <si>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</si>
  <si>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</si>
  <si>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</si>
  <si>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</si>
  <si>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</si>
  <si>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</si>
  <si>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</si>
  <si>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</si>
  <si>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</si>
  <si>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</si>
  <si>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</si>
  <si>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</si>
  <si>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</si>
  <si>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</si>
  <si>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</si>
  <si>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</si>
  <si>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</si>
  <si>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</si>
  <si>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</si>
  <si>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</si>
  <si>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</si>
  <si>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</si>
  <si>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</si>
  <si>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</si>
  <si>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</si>
  <si>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</si>
  <si>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</si>
  <si>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</si>
  <si>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</si>
  <si>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</si>
  <si>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</si>
  <si>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</si>
  <si>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</si>
  <si>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</si>
  <si>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</si>
  <si>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</si>
  <si>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</si>
  <si>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</si>
  <si>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</si>
  <si>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</si>
  <si>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</si>
  <si>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</si>
  <si>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</si>
  <si>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</si>
  <si>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</si>
  <si>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</si>
  <si>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</si>
  <si>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</si>
  <si>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</si>
  <si>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</si>
  <si>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</si>
  <si>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</si>
  <si>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</si>
  <si>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</si>
  <si>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</si>
  <si>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</si>
  <si>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</si>
  <si>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</si>
  <si>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</si>
  <si>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</si>
  <si>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</si>
  <si>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</si>
  <si>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</si>
  <si>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</si>
  <si>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</si>
  <si>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</si>
  <si>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</si>
  <si>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</si>
  <si>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</si>
  <si>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</si>
  <si>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</si>
  <si>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</si>
  <si>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</si>
  <si>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</si>
  <si>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</si>
  <si>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</si>
  <si>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</si>
  <si>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</si>
  <si>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</si>
  <si>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</si>
  <si>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</si>
  <si>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</si>
  <si>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</si>
  <si>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</si>
  <si>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</si>
  <si>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</si>
  <si>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</si>
  <si>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</si>
  <si>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</si>
  <si>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</si>
  <si>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</si>
  <si>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</si>
  <si>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</si>
  <si>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</si>
  <si>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</si>
  <si>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</si>
  <si>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</si>
  <si>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</si>
  <si>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</si>
  <si>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</si>
  <si>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</si>
  <si>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</si>
  <si>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</si>
  <si>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</si>
  <si>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</si>
  <si>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</si>
  <si>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</si>
  <si>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</si>
  <si>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</si>
  <si>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</si>
  <si>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</si>
  <si>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</si>
  <si>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</si>
  <si>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</si>
  <si>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</si>
  <si>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</si>
  <si>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</si>
  <si>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</si>
  <si>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</si>
  <si>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</si>
  <si>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</si>
  <si>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</si>
  <si>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</si>
  <si>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</si>
  <si>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</si>
  <si>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</si>
  <si>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</si>
  <si>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</si>
  <si>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</si>
  <si>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</si>
  <si>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</si>
  <si>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</si>
  <si>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</si>
  <si>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</si>
  <si>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</si>
  <si>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</si>
  <si>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</si>
  <si>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</si>
  <si>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</si>
  <si>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</si>
  <si>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</si>
  <si>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</si>
  <si>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</si>
  <si>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</si>
  <si>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</si>
  <si>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</si>
  <si>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</si>
  <si>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</si>
  <si>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</si>
  <si>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</si>
  <si>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</si>
  <si>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</si>
  <si>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</si>
  <si>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</si>
  <si>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</si>
  <si>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</si>
  <si>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</si>
  <si>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</si>
  <si>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</si>
  <si>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</si>
  <si>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</si>
  <si>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</si>
  <si>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</si>
  <si>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</si>
  <si>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</si>
  <si>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</si>
  <si>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</si>
  <si>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</si>
  <si>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</si>
  <si>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</si>
  <si>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</si>
  <si>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</si>
  <si>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</si>
  <si>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</si>
  <si>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</si>
  <si>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</si>
  <si>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</si>
  <si>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</si>
  <si>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</si>
  <si>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</si>
  <si>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</si>
  <si>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</si>
  <si>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</si>
  <si>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</si>
  <si>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</si>
  <si>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</si>
  <si>
    <t>Trying to import a sheet with the same file name will inform the user about the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</si>
</sst>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7" t="s">
        <v>2325</v>
      </c>
      <c r="C13" s="1386" t="s">
        <v>3225</v>
      </c>
    </row>
    <row r="14" spans="1:256" ht="22.5">
      <c r="B14" s="1407"/>
      <c r="C14" s="1386" t="s">
        <v>3226</v>
      </c>
    </row>
    <row r="15" spans="1:256" ht="22.5">
      <c r="B15" s="1407"/>
      <c r="C15" s="1386" t="s">
        <v>3227</v>
      </c>
    </row>
    <row r="16" spans="1:256">
      <c r="B16" s="1407"/>
      <c r="C16" s="1386" t="s">
        <v>3228</v>
      </c>
    </row>
    <row r="17" spans="2:3">
      <c r="B17" s="1407"/>
      <c r="C17" s="1386" t="s">
        <v>1898</v>
      </c>
    </row>
    <row r="18" spans="2:3" ht="35.25" customHeight="1">
      <c r="B18" s="1407"/>
      <c r="C18" s="1387" t="s">
        <v>3229</v>
      </c>
    </row>
    <row r="19" spans="2:3" ht="22.5">
      <c r="B19" s="1407"/>
      <c r="C19" s="1386" t="s">
        <v>3230</v>
      </c>
    </row>
    <row r="20" spans="2:3" ht="56.25">
      <c r="B20" s="1407"/>
      <c r="C20" s="1386" t="s">
        <v>3231</v>
      </c>
    </row>
    <row r="21" spans="2:3">
      <c r="B21" s="1408" t="s">
        <v>1897</v>
      </c>
      <c r="C21" s="1380" t="s">
        <v>3239</v>
      </c>
    </row>
    <row r="22" spans="2:3" ht="22.5">
      <c r="B22" s="1408"/>
      <c r="C22" s="1379" t="s">
        <v>3232</v>
      </c>
    </row>
    <row r="23" spans="2:3" ht="33.75">
      <c r="B23" s="1408"/>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6"/>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B9" s="9" t="s">
        <v>3280</v>
      </c>
    </row>
    <row r="10" spans="1:2">
      <c r="A10" s="9" t="s">
        <v>1856</v>
      </c>
      <c r="B10" s="9" t="s">
        <v>3279</v>
      </c>
    </row>
    <row r="11" spans="1:2">
      <c r="A11" s="2"/>
      <c r="B11" s="9" t="s">
        <v>3244</v>
      </c>
    </row>
    <row r="12" spans="1:2">
      <c r="B12" s="9" t="s">
        <v>3250</v>
      </c>
    </row>
    <row r="13" spans="1:2">
      <c r="B13" s="9" t="s">
        <v>3278</v>
      </c>
    </row>
    <row r="14" spans="1:2">
      <c r="B14" s="9" t="s">
        <v>3275</v>
      </c>
    </row>
    <row r="15" spans="1:2">
      <c r="B15" s="9" t="s">
        <v>3251</v>
      </c>
    </row>
    <row r="16" spans="1:2">
      <c r="B16" s="9" t="s">
        <v>3248</v>
      </c>
    </row>
    <row r="17" spans="1:2">
      <c r="B17" s="9" t="s">
        <v>3252</v>
      </c>
    </row>
    <row r="18" spans="1:2">
      <c r="B18" s="9" t="s">
        <v>3277</v>
      </c>
    </row>
    <row r="20" spans="1:2">
      <c r="A20" s="9" t="s">
        <v>3202</v>
      </c>
      <c r="B20" s="9" t="s">
        <v>2329</v>
      </c>
    </row>
    <row r="21" spans="1:2">
      <c r="A21" s="9" t="s">
        <v>2214</v>
      </c>
      <c r="B21" s="9" t="s">
        <v>3006</v>
      </c>
    </row>
    <row r="22" spans="1:2">
      <c r="B22" s="9" t="s">
        <v>3005</v>
      </c>
    </row>
    <row r="23" spans="1:2">
      <c r="B23" s="48" t="s">
        <v>2405</v>
      </c>
    </row>
    <row r="24" spans="1:2">
      <c r="B24" s="650" t="s">
        <v>2410</v>
      </c>
    </row>
    <row r="25" spans="1:2">
      <c r="B25" s="650" t="s">
        <v>2988</v>
      </c>
    </row>
    <row r="26" spans="1:2">
      <c r="B26" s="650" t="s">
        <v>2859</v>
      </c>
    </row>
    <row r="27" spans="1:2">
      <c r="B27" s="650" t="s">
        <v>3020</v>
      </c>
    </row>
    <row r="28" spans="1:2">
      <c r="B28" s="650" t="s">
        <v>3035</v>
      </c>
    </row>
    <row r="29" spans="1:2">
      <c r="A29" s="2"/>
      <c r="B29" s="650" t="s">
        <v>2866</v>
      </c>
    </row>
    <row r="30" spans="1:2">
      <c r="A30" s="2"/>
      <c r="B30" s="650" t="s">
        <v>3036</v>
      </c>
    </row>
    <row r="31" spans="1:2">
      <c r="B31" s="650" t="s">
        <v>2885</v>
      </c>
    </row>
    <row r="32" spans="1:2">
      <c r="A32" s="9" t="s">
        <v>1583</v>
      </c>
      <c r="B32" s="9" t="s">
        <v>2330</v>
      </c>
    </row>
    <row r="33" spans="1:2">
      <c r="B33" s="9" t="s">
        <v>2406</v>
      </c>
    </row>
    <row r="34" spans="1:2">
      <c r="B34" s="9" t="s">
        <v>2422</v>
      </c>
    </row>
    <row r="35" spans="1:2">
      <c r="B35" s="9" t="s">
        <v>2860</v>
      </c>
    </row>
    <row r="36" spans="1:2">
      <c r="B36" s="9" t="s">
        <v>2876</v>
      </c>
    </row>
    <row r="37" spans="1:2">
      <c r="B37" s="9" t="s">
        <v>2879</v>
      </c>
    </row>
    <row r="38" spans="1:2">
      <c r="B38" s="9" t="s">
        <v>2984</v>
      </c>
    </row>
    <row r="39" spans="1:2">
      <c r="B39" s="9" t="s">
        <v>2985</v>
      </c>
    </row>
    <row r="40" spans="1:2">
      <c r="B40" s="9" t="s">
        <v>3015</v>
      </c>
    </row>
    <row r="41" spans="1:2">
      <c r="B41" s="9" t="s">
        <v>3016</v>
      </c>
    </row>
    <row r="42" spans="1:2">
      <c r="B42" s="9" t="s">
        <v>3017</v>
      </c>
    </row>
    <row r="43" spans="1:2">
      <c r="B43" s="9" t="s">
        <v>2986</v>
      </c>
    </row>
    <row r="44" spans="1:2">
      <c r="A44" s="9" t="s">
        <v>1856</v>
      </c>
      <c r="B44" s="9" t="s">
        <v>2987</v>
      </c>
    </row>
    <row r="45" spans="1:2">
      <c r="B45" s="9" t="s">
        <v>2864</v>
      </c>
    </row>
    <row r="46" spans="1:2">
      <c r="A46" s="9" t="s">
        <v>2070</v>
      </c>
      <c r="B46" s="9" t="s">
        <v>2332</v>
      </c>
    </row>
    <row r="47" spans="1:2">
      <c r="B47" s="9" t="s">
        <v>2421</v>
      </c>
    </row>
    <row r="49" spans="1:2">
      <c r="A49" s="9" t="s">
        <v>1850</v>
      </c>
    </row>
    <row r="50" spans="1:2">
      <c r="A50" s="9" t="s">
        <v>2331</v>
      </c>
    </row>
    <row r="51" spans="1:2">
      <c r="A51" s="9" t="s">
        <v>311</v>
      </c>
      <c r="B51" s="9" t="s">
        <v>2040</v>
      </c>
    </row>
    <row r="52" spans="1:2">
      <c r="A52" s="9" t="s">
        <v>2214</v>
      </c>
      <c r="B52" s="9" t="s">
        <v>1442</v>
      </c>
    </row>
    <row r="53" spans="1:2">
      <c r="B53" s="9" t="s">
        <v>1441</v>
      </c>
    </row>
    <row r="54" spans="1:2">
      <c r="B54" s="9" t="s">
        <v>65</v>
      </c>
    </row>
    <row r="55" spans="1:2">
      <c r="B55" s="9" t="s">
        <v>62</v>
      </c>
    </row>
    <row r="56" spans="1:2">
      <c r="B56" s="9" t="s">
        <v>60</v>
      </c>
    </row>
    <row r="57" spans="1:2">
      <c r="B57" s="9" t="s">
        <v>61</v>
      </c>
    </row>
    <row r="58" spans="1:2">
      <c r="B58" s="9" t="s">
        <v>64</v>
      </c>
    </row>
    <row r="59" spans="1:2">
      <c r="B59" s="9" t="s">
        <v>1729</v>
      </c>
    </row>
    <row r="60" spans="1:2">
      <c r="B60" s="9" t="s">
        <v>69</v>
      </c>
    </row>
    <row r="61" spans="1:2">
      <c r="B61" s="2" t="s">
        <v>2162</v>
      </c>
    </row>
    <row r="62" spans="1:2">
      <c r="B62" s="2" t="s">
        <v>2163</v>
      </c>
    </row>
    <row r="63" spans="1:2">
      <c r="B63" s="2" t="s">
        <v>67</v>
      </c>
    </row>
    <row r="64" spans="1:2">
      <c r="B64" s="9" t="s">
        <v>68</v>
      </c>
    </row>
    <row r="65" spans="1:2">
      <c r="B65" s="9" t="s">
        <v>1728</v>
      </c>
    </row>
    <row r="66" spans="1:2">
      <c r="B66" s="9" t="s">
        <v>73</v>
      </c>
    </row>
    <row r="67" spans="1:2">
      <c r="B67" s="9" t="s">
        <v>2164</v>
      </c>
    </row>
    <row r="68" spans="1:2">
      <c r="B68" s="9" t="s">
        <v>70</v>
      </c>
    </row>
    <row r="69" spans="1:2">
      <c r="B69" s="9" t="s">
        <v>2159</v>
      </c>
    </row>
    <row r="70" spans="1:2">
      <c r="B70" s="9" t="s">
        <v>789</v>
      </c>
    </row>
    <row r="71" spans="1:2">
      <c r="A71" s="9" t="s">
        <v>1856</v>
      </c>
      <c r="B71" s="9" t="s">
        <v>71</v>
      </c>
    </row>
    <row r="72" spans="1:2">
      <c r="B72" s="9" t="s">
        <v>1443</v>
      </c>
    </row>
    <row r="73" spans="1:2">
      <c r="B73" s="9" t="s">
        <v>66</v>
      </c>
    </row>
    <row r="74" spans="1:2">
      <c r="B74" s="9" t="s">
        <v>1730</v>
      </c>
    </row>
    <row r="75" spans="1:2">
      <c r="B75" s="9" t="s">
        <v>305</v>
      </c>
    </row>
    <row r="76" spans="1:2">
      <c r="B76" s="9" t="s">
        <v>787</v>
      </c>
    </row>
    <row r="77" spans="1:2">
      <c r="B77" s="9" t="s">
        <v>788</v>
      </c>
    </row>
    <row r="78" spans="1:2">
      <c r="B78" s="9" t="s">
        <v>1557</v>
      </c>
    </row>
    <row r="79" spans="1:2">
      <c r="B79" s="9" t="s">
        <v>1756</v>
      </c>
    </row>
    <row r="80" spans="1:2">
      <c r="B80" s="9" t="s">
        <v>309</v>
      </c>
    </row>
    <row r="81" spans="1:2">
      <c r="B81" s="9" t="s">
        <v>310</v>
      </c>
    </row>
    <row r="83" spans="1:2">
      <c r="A83" s="9" t="s">
        <v>2202</v>
      </c>
      <c r="B83" s="9" t="s">
        <v>790</v>
      </c>
    </row>
    <row r="84" spans="1:2">
      <c r="A84" s="9" t="s">
        <v>2214</v>
      </c>
      <c r="B84" s="9" t="s">
        <v>1987</v>
      </c>
    </row>
    <row r="85" spans="1:2">
      <c r="A85" s="2"/>
      <c r="B85" s="9" t="s">
        <v>1833</v>
      </c>
    </row>
    <row r="86" spans="1:2">
      <c r="B86" s="9" t="s">
        <v>408</v>
      </c>
    </row>
    <row r="87" spans="1:2">
      <c r="B87" s="9" t="s">
        <v>1732</v>
      </c>
    </row>
    <row r="88" spans="1:2">
      <c r="A88" s="9" t="s">
        <v>1583</v>
      </c>
      <c r="B88" s="9" t="s">
        <v>1237</v>
      </c>
    </row>
    <row r="89" spans="1:2">
      <c r="B89" s="9" t="s">
        <v>1676</v>
      </c>
    </row>
    <row r="90" spans="1:2">
      <c r="B90" s="9" t="s">
        <v>602</v>
      </c>
    </row>
    <row r="91" spans="1:2">
      <c r="B91" s="9" t="s">
        <v>2203</v>
      </c>
    </row>
    <row r="92" spans="1:2">
      <c r="B92" s="9" t="s">
        <v>37</v>
      </c>
    </row>
    <row r="93" spans="1:2">
      <c r="B93" s="9" t="s">
        <v>2006</v>
      </c>
    </row>
    <row r="94" spans="1:2">
      <c r="B94" s="9" t="s">
        <v>2236</v>
      </c>
    </row>
    <row r="95" spans="1:2">
      <c r="B95" s="9" t="s">
        <v>2235</v>
      </c>
    </row>
    <row r="96" spans="1:2">
      <c r="B96" s="9" t="s">
        <v>2239</v>
      </c>
    </row>
    <row r="97" spans="1:2">
      <c r="A97" s="9" t="s">
        <v>1856</v>
      </c>
      <c r="B97" s="9" t="s">
        <v>1236</v>
      </c>
    </row>
    <row r="98" spans="1:2">
      <c r="B98" s="9" t="s">
        <v>1238</v>
      </c>
    </row>
    <row r="99" spans="1:2">
      <c r="B99" s="9" t="s">
        <v>1239</v>
      </c>
    </row>
    <row r="100" spans="1:2">
      <c r="B100" s="9" t="s">
        <v>1240</v>
      </c>
    </row>
    <row r="101" spans="1:2">
      <c r="B101" s="9" t="s">
        <v>441</v>
      </c>
    </row>
    <row r="102" spans="1:2">
      <c r="B102" s="9" t="s">
        <v>406</v>
      </c>
    </row>
    <row r="103" spans="1:2">
      <c r="B103" s="9" t="s">
        <v>2012</v>
      </c>
    </row>
    <row r="104" spans="1:2">
      <c r="B104" s="9" t="s">
        <v>2313</v>
      </c>
    </row>
    <row r="105" spans="1:2">
      <c r="B105" s="9" t="s">
        <v>2314</v>
      </c>
    </row>
    <row r="106" spans="1:2">
      <c r="B106" s="9" t="s">
        <v>1249</v>
      </c>
    </row>
    <row r="107" spans="1:2">
      <c r="B107" s="9" t="s">
        <v>1731</v>
      </c>
    </row>
    <row r="108" spans="1:2">
      <c r="B108" s="9" t="s">
        <v>1909</v>
      </c>
    </row>
    <row r="109" spans="1:2">
      <c r="B109" s="9" t="s">
        <v>1910</v>
      </c>
    </row>
    <row r="110" spans="1:2">
      <c r="B110" s="9" t="s">
        <v>2233</v>
      </c>
    </row>
    <row r="111" spans="1:2">
      <c r="B111" s="9" t="s">
        <v>1110</v>
      </c>
    </row>
    <row r="112" spans="1:2">
      <c r="B112" s="9" t="s">
        <v>1111</v>
      </c>
    </row>
    <row r="114" spans="1:2">
      <c r="A114" s="9" t="s">
        <v>623</v>
      </c>
      <c r="B114" s="9" t="s">
        <v>790</v>
      </c>
    </row>
    <row r="115" spans="1:2">
      <c r="A115" s="9" t="s">
        <v>2214</v>
      </c>
      <c r="B115" s="9" t="s">
        <v>622</v>
      </c>
    </row>
    <row r="116" spans="1:2">
      <c r="A116" s="9" t="s">
        <v>1583</v>
      </c>
      <c r="B116" s="9" t="s">
        <v>431</v>
      </c>
    </row>
    <row r="117" spans="1:2">
      <c r="B117" s="9" t="s">
        <v>2266</v>
      </c>
    </row>
    <row r="118" spans="1:2">
      <c r="B118" s="9" t="s">
        <v>2058</v>
      </c>
    </row>
    <row r="119" spans="1:2">
      <c r="B119" s="9" t="s">
        <v>2062</v>
      </c>
    </row>
    <row r="120" spans="1:2">
      <c r="B120" s="9" t="s">
        <v>621</v>
      </c>
    </row>
    <row r="121" spans="1:2">
      <c r="B121" s="9" t="s">
        <v>624</v>
      </c>
    </row>
    <row r="122" spans="1:2">
      <c r="A122" s="9" t="s">
        <v>1856</v>
      </c>
      <c r="B122" s="9" t="s">
        <v>1879</v>
      </c>
    </row>
    <row r="123" spans="1:2">
      <c r="B123" s="9" t="s">
        <v>1880</v>
      </c>
    </row>
    <row r="124" spans="1:2">
      <c r="B124" s="9" t="s">
        <v>430</v>
      </c>
    </row>
    <row r="125" spans="1:2">
      <c r="B125" s="9" t="s">
        <v>2264</v>
      </c>
    </row>
    <row r="127" spans="1:2">
      <c r="A127" s="9" t="s">
        <v>1743</v>
      </c>
      <c r="B127" s="9" t="s">
        <v>790</v>
      </c>
    </row>
    <row r="128" spans="1:2">
      <c r="A128" s="9" t="s">
        <v>2214</v>
      </c>
      <c r="B128" s="9" t="s">
        <v>1874</v>
      </c>
    </row>
    <row r="129" spans="1:2">
      <c r="A129" s="2"/>
      <c r="B129" s="9" t="s">
        <v>83</v>
      </c>
    </row>
    <row r="130" spans="1:2">
      <c r="A130" s="2"/>
      <c r="B130" s="9" t="s">
        <v>1260</v>
      </c>
    </row>
    <row r="131" spans="1:2">
      <c r="B131" s="9" t="s">
        <v>79</v>
      </c>
    </row>
    <row r="132" spans="1:2">
      <c r="B132" s="9" t="s">
        <v>1859</v>
      </c>
    </row>
    <row r="133" spans="1:2">
      <c r="B133" s="9" t="s">
        <v>1864</v>
      </c>
    </row>
    <row r="134" spans="1:2">
      <c r="B134" s="9" t="s">
        <v>1860</v>
      </c>
    </row>
    <row r="135" spans="1:2">
      <c r="B135" s="9" t="s">
        <v>1865</v>
      </c>
    </row>
    <row r="136" spans="1:2">
      <c r="B136" s="9" t="s">
        <v>85</v>
      </c>
    </row>
    <row r="137" spans="1:2">
      <c r="B137" s="9" t="s">
        <v>1867</v>
      </c>
    </row>
    <row r="138" spans="1:2">
      <c r="A138" s="2"/>
      <c r="B138" s="9" t="s">
        <v>77</v>
      </c>
    </row>
    <row r="139" spans="1:2">
      <c r="B139" s="9" t="s">
        <v>78</v>
      </c>
    </row>
    <row r="140" spans="1:2">
      <c r="B140" s="9" t="s">
        <v>1261</v>
      </c>
    </row>
    <row r="141" spans="1:2">
      <c r="B141" s="9" t="s">
        <v>1262</v>
      </c>
    </row>
    <row r="142" spans="1:2">
      <c r="B142" s="9" t="s">
        <v>82</v>
      </c>
    </row>
    <row r="143" spans="1:2">
      <c r="B143" s="9" t="s">
        <v>1259</v>
      </c>
    </row>
    <row r="144" spans="1:2">
      <c r="B144" s="9" t="s">
        <v>1553</v>
      </c>
    </row>
    <row r="145" spans="1:2">
      <c r="B145" s="9" t="s">
        <v>1554</v>
      </c>
    </row>
    <row r="146" spans="1:2">
      <c r="B146" s="9" t="s">
        <v>1861</v>
      </c>
    </row>
    <row r="147" spans="1:2">
      <c r="B147" s="9" t="s">
        <v>1870</v>
      </c>
    </row>
    <row r="148" spans="1:2">
      <c r="B148" s="9" t="s">
        <v>1873</v>
      </c>
    </row>
    <row r="149" spans="1:2">
      <c r="B149" s="9" t="s">
        <v>1869</v>
      </c>
    </row>
    <row r="150" spans="1:2">
      <c r="B150" s="9" t="s">
        <v>28</v>
      </c>
    </row>
    <row r="151" spans="1:2">
      <c r="B151" s="9" t="s">
        <v>38</v>
      </c>
    </row>
    <row r="152" spans="1:2">
      <c r="B152" s="9" t="s">
        <v>39</v>
      </c>
    </row>
    <row r="153" spans="1:2">
      <c r="B153" s="9" t="s">
        <v>1742</v>
      </c>
    </row>
    <row r="154" spans="1:2">
      <c r="B154" s="9" t="s">
        <v>103</v>
      </c>
    </row>
    <row r="155" spans="1:2">
      <c r="B155" s="9" t="s">
        <v>106</v>
      </c>
    </row>
    <row r="156" spans="1:2">
      <c r="B156" s="9" t="s">
        <v>1558</v>
      </c>
    </row>
    <row r="157" spans="1:2">
      <c r="A157" s="9" t="s">
        <v>1583</v>
      </c>
      <c r="B157" s="9" t="s">
        <v>1591</v>
      </c>
    </row>
    <row r="158" spans="1:2">
      <c r="B158" s="9" t="s">
        <v>864</v>
      </c>
    </row>
    <row r="159" spans="1:2">
      <c r="B159" s="9" t="s">
        <v>2295</v>
      </c>
    </row>
    <row r="160" spans="1:2">
      <c r="B160" s="9" t="s">
        <v>421</v>
      </c>
    </row>
    <row r="161" spans="1:2">
      <c r="B161" s="9" t="s">
        <v>958</v>
      </c>
    </row>
    <row r="162" spans="1:2">
      <c r="B162" s="9" t="s">
        <v>1135</v>
      </c>
    </row>
    <row r="163" spans="1:2">
      <c r="B163" s="9" t="s">
        <v>865</v>
      </c>
    </row>
    <row r="164" spans="1:2">
      <c r="B164" s="9" t="s">
        <v>94</v>
      </c>
    </row>
    <row r="165" spans="1:2">
      <c r="B165" s="9" t="s">
        <v>96</v>
      </c>
    </row>
    <row r="166" spans="1:2">
      <c r="B166" s="9" t="s">
        <v>1559</v>
      </c>
    </row>
    <row r="167" spans="1:2">
      <c r="A167" s="9" t="s">
        <v>1856</v>
      </c>
      <c r="B167" s="9" t="s">
        <v>1622</v>
      </c>
    </row>
    <row r="168" spans="1:2">
      <c r="B168" s="9" t="s">
        <v>2014</v>
      </c>
    </row>
    <row r="169" spans="1:2">
      <c r="B169" s="9" t="s">
        <v>2015</v>
      </c>
    </row>
    <row r="170" spans="1:2">
      <c r="B170" s="9" t="s">
        <v>99</v>
      </c>
    </row>
    <row r="171" spans="1:2">
      <c r="A171" s="9" t="s">
        <v>2070</v>
      </c>
      <c r="B171" s="9" t="s">
        <v>810</v>
      </c>
    </row>
    <row r="174" spans="1:2">
      <c r="A174" s="9" t="s">
        <v>809</v>
      </c>
      <c r="B174" s="9" t="s">
        <v>790</v>
      </c>
    </row>
    <row r="175" spans="1:2">
      <c r="A175" s="9" t="s">
        <v>1583</v>
      </c>
      <c r="B175" s="9" t="s">
        <v>2260</v>
      </c>
    </row>
    <row r="176" spans="1:2">
      <c r="B176" s="9" t="s">
        <v>2261</v>
      </c>
    </row>
    <row r="177" spans="1:2">
      <c r="B177" s="9" t="s">
        <v>451</v>
      </c>
    </row>
    <row r="178" spans="1:2">
      <c r="A178" s="9" t="s">
        <v>1856</v>
      </c>
      <c r="B178" s="9" t="s">
        <v>2257</v>
      </c>
    </row>
    <row r="179" spans="1:2">
      <c r="B179" s="9" t="s">
        <v>2227</v>
      </c>
    </row>
    <row r="180" spans="1:2">
      <c r="B180" s="9" t="s">
        <v>2258</v>
      </c>
    </row>
    <row r="181" spans="1:2">
      <c r="B181" s="9" t="s">
        <v>2259</v>
      </c>
    </row>
    <row r="184" spans="1:2">
      <c r="A184" s="9" t="s">
        <v>876</v>
      </c>
      <c r="B184" s="9" t="s">
        <v>790</v>
      </c>
    </row>
    <row r="185" spans="1:2">
      <c r="A185" s="9" t="s">
        <v>2214</v>
      </c>
      <c r="B185" s="9" t="s">
        <v>697</v>
      </c>
    </row>
    <row r="186" spans="1:2">
      <c r="B186" s="9" t="s">
        <v>154</v>
      </c>
    </row>
    <row r="187" spans="1:2">
      <c r="B187" s="9" t="s">
        <v>153</v>
      </c>
    </row>
    <row r="188" spans="1:2">
      <c r="B188" s="9" t="s">
        <v>874</v>
      </c>
    </row>
    <row r="189" spans="1:2">
      <c r="A189" s="9" t="s">
        <v>1583</v>
      </c>
      <c r="B189" s="9" t="s">
        <v>156</v>
      </c>
    </row>
    <row r="190" spans="1:2">
      <c r="B190" s="9" t="s">
        <v>848</v>
      </c>
    </row>
    <row r="191" spans="1:2">
      <c r="B191" s="9" t="s">
        <v>875</v>
      </c>
    </row>
    <row r="192" spans="1:2">
      <c r="A192" s="9" t="s">
        <v>1856</v>
      </c>
      <c r="B192" s="9" t="s">
        <v>994</v>
      </c>
    </row>
    <row r="193" spans="1:2">
      <c r="B193" s="9" t="s">
        <v>696</v>
      </c>
    </row>
    <row r="194" spans="1:2">
      <c r="B194" s="9" t="s">
        <v>157</v>
      </c>
    </row>
    <row r="195" spans="1:2">
      <c r="B195" s="9" t="s">
        <v>149</v>
      </c>
    </row>
    <row r="196" spans="1:2">
      <c r="B196" s="9" t="s">
        <v>150</v>
      </c>
    </row>
    <row r="197" spans="1:2">
      <c r="B197" s="9" t="s">
        <v>151</v>
      </c>
    </row>
    <row r="198" spans="1:2">
      <c r="B198" s="9" t="s">
        <v>847</v>
      </c>
    </row>
    <row r="199" spans="1:2">
      <c r="B199" s="9" t="s">
        <v>851</v>
      </c>
    </row>
    <row r="200" spans="1:2">
      <c r="B200" s="9" t="s">
        <v>878</v>
      </c>
    </row>
    <row r="201" spans="1:2">
      <c r="A201" s="9" t="s">
        <v>2070</v>
      </c>
      <c r="B201" s="9" t="s">
        <v>152</v>
      </c>
    </row>
    <row r="203" spans="1:2">
      <c r="A203" s="9" t="s">
        <v>1594</v>
      </c>
      <c r="B203" s="9" t="s">
        <v>790</v>
      </c>
    </row>
    <row r="204" spans="1:2">
      <c r="A204" s="9" t="s">
        <v>1583</v>
      </c>
      <c r="B204" s="9" t="s">
        <v>2039</v>
      </c>
    </row>
    <row r="205" spans="1:2">
      <c r="B205" s="9" t="s">
        <v>313</v>
      </c>
    </row>
    <row r="206" spans="1:2">
      <c r="B206" s="9" t="s">
        <v>314</v>
      </c>
    </row>
    <row r="207" spans="1:2">
      <c r="A207" s="9" t="s">
        <v>1856</v>
      </c>
      <c r="B207" s="9" t="s">
        <v>312</v>
      </c>
    </row>
    <row r="208" spans="1:2">
      <c r="B208" s="9" t="s">
        <v>315</v>
      </c>
    </row>
    <row r="209" spans="1:2">
      <c r="B209" s="9" t="s">
        <v>2038</v>
      </c>
    </row>
    <row r="211" spans="1:2">
      <c r="A211" s="9" t="s">
        <v>1605</v>
      </c>
      <c r="B211" s="9" t="s">
        <v>790</v>
      </c>
    </row>
    <row r="212" spans="1:2">
      <c r="A212" s="9" t="s">
        <v>2214</v>
      </c>
      <c r="B212" s="9" t="s">
        <v>834</v>
      </c>
    </row>
    <row r="213" spans="1:2">
      <c r="B213" s="9" t="s">
        <v>1139</v>
      </c>
    </row>
    <row r="214" spans="1:2">
      <c r="A214" s="9" t="s">
        <v>1583</v>
      </c>
      <c r="B214" s="9" t="s">
        <v>831</v>
      </c>
    </row>
    <row r="215" spans="1:2">
      <c r="B215" s="9" t="s">
        <v>1265</v>
      </c>
    </row>
    <row r="216" spans="1:2">
      <c r="B216" s="9" t="s">
        <v>1487</v>
      </c>
    </row>
    <row r="217" spans="1:2">
      <c r="B217" s="9" t="s">
        <v>1556</v>
      </c>
    </row>
    <row r="218" spans="1:2">
      <c r="B218" s="9" t="s">
        <v>1321</v>
      </c>
    </row>
    <row r="219" spans="1:2">
      <c r="B219" s="9" t="s">
        <v>1488</v>
      </c>
    </row>
    <row r="220" spans="1:2">
      <c r="B220" s="9" t="s">
        <v>1322</v>
      </c>
    </row>
    <row r="221" spans="1:2">
      <c r="B221" s="9" t="s">
        <v>1138</v>
      </c>
    </row>
    <row r="222" spans="1:2">
      <c r="B222" s="9" t="s">
        <v>1489</v>
      </c>
    </row>
    <row r="223" spans="1:2">
      <c r="B223" s="9" t="s">
        <v>1490</v>
      </c>
    </row>
    <row r="224" spans="1:2">
      <c r="B224" s="9" t="s">
        <v>1491</v>
      </c>
    </row>
    <row r="225" spans="1:2">
      <c r="A225" s="9" t="s">
        <v>1856</v>
      </c>
      <c r="B225" s="9" t="s">
        <v>832</v>
      </c>
    </row>
    <row r="226" spans="1:2">
      <c r="B226" s="9" t="s">
        <v>613</v>
      </c>
    </row>
    <row r="227" spans="1:2">
      <c r="B227" s="9" t="s">
        <v>587</v>
      </c>
    </row>
    <row r="228" spans="1:2">
      <c r="B228" s="9" t="s">
        <v>730</v>
      </c>
    </row>
    <row r="229" spans="1:2">
      <c r="B229" s="9" t="s">
        <v>937</v>
      </c>
    </row>
    <row r="230" spans="1:2">
      <c r="A230" s="9" t="s">
        <v>2070</v>
      </c>
      <c r="B230" s="9" t="s">
        <v>266</v>
      </c>
    </row>
    <row r="232" spans="1:2">
      <c r="A232" s="9" t="s">
        <v>1415</v>
      </c>
      <c r="B232" s="9" t="s">
        <v>790</v>
      </c>
    </row>
    <row r="233" spans="1:2">
      <c r="A233" s="9" t="s">
        <v>2214</v>
      </c>
      <c r="B233" s="9" t="s">
        <v>438</v>
      </c>
    </row>
    <row r="234" spans="1:2">
      <c r="B234" s="9" t="s">
        <v>1416</v>
      </c>
    </row>
    <row r="235" spans="1:2">
      <c r="B235" s="9" t="s">
        <v>306</v>
      </c>
    </row>
    <row r="236" spans="1:2">
      <c r="B236" s="9" t="s">
        <v>1354</v>
      </c>
    </row>
    <row r="237" spans="1:2">
      <c r="A237" s="9" t="s">
        <v>1583</v>
      </c>
      <c r="B237" s="9" t="s">
        <v>655</v>
      </c>
    </row>
    <row r="238" spans="1:2">
      <c r="B238" s="9" t="s">
        <v>630</v>
      </c>
    </row>
    <row r="239" spans="1:2">
      <c r="B239" s="9" t="s">
        <v>1350</v>
      </c>
    </row>
    <row r="240" spans="1:2">
      <c r="A240" s="2"/>
      <c r="B240" s="9" t="s">
        <v>626</v>
      </c>
    </row>
    <row r="241" spans="1:2">
      <c r="B241" s="9" t="s">
        <v>625</v>
      </c>
    </row>
    <row r="242" spans="1:2">
      <c r="B242" s="9" t="s">
        <v>627</v>
      </c>
    </row>
    <row r="243" spans="1:2">
      <c r="A243" s="9" t="s">
        <v>1856</v>
      </c>
      <c r="B243" s="9" t="s">
        <v>16</v>
      </c>
    </row>
    <row r="244" spans="1:2">
      <c r="B244" s="9" t="s">
        <v>1620</v>
      </c>
    </row>
    <row r="245" spans="1:2">
      <c r="B245" s="9" t="s">
        <v>1255</v>
      </c>
    </row>
    <row r="246" spans="1:2">
      <c r="B246" s="9" t="s">
        <v>1256</v>
      </c>
    </row>
    <row r="247" spans="1:2">
      <c r="B247" s="9" t="s">
        <v>1257</v>
      </c>
    </row>
    <row r="248" spans="1:2">
      <c r="B248" s="9" t="s">
        <v>1208</v>
      </c>
    </row>
    <row r="249" spans="1:2">
      <c r="B249" s="9" t="s">
        <v>1209</v>
      </c>
    </row>
    <row r="250" spans="1:2">
      <c r="B250" s="9" t="s">
        <v>1417</v>
      </c>
    </row>
    <row r="251" spans="1:2">
      <c r="A251" s="9" t="s">
        <v>2070</v>
      </c>
      <c r="B251" s="9" t="s">
        <v>2016</v>
      </c>
    </row>
    <row r="252" spans="1:2">
      <c r="B252" s="9" t="s">
        <v>2017</v>
      </c>
    </row>
    <row r="254" spans="1:2">
      <c r="A254" s="9" t="s">
        <v>1570</v>
      </c>
      <c r="B254" s="9" t="s">
        <v>790</v>
      </c>
    </row>
    <row r="255" spans="1:2">
      <c r="A255" s="9" t="s">
        <v>2214</v>
      </c>
      <c r="B255" s="9" t="s">
        <v>2093</v>
      </c>
    </row>
    <row r="256" spans="1:2">
      <c r="B256" s="9" t="s">
        <v>10</v>
      </c>
    </row>
    <row r="257" spans="1:2">
      <c r="B257" s="9" t="s">
        <v>130</v>
      </c>
    </row>
    <row r="258" spans="1:2">
      <c r="B258" s="9" t="s">
        <v>1883</v>
      </c>
    </row>
    <row r="259" spans="1:2">
      <c r="B259" s="9" t="s">
        <v>1568</v>
      </c>
    </row>
    <row r="260" spans="1:2">
      <c r="A260" s="2"/>
      <c r="B260" s="9" t="s">
        <v>1634</v>
      </c>
    </row>
    <row r="261" spans="1:2">
      <c r="A261" s="2"/>
      <c r="B261" s="9" t="s">
        <v>425</v>
      </c>
    </row>
    <row r="262" spans="1:2">
      <c r="A262" s="2"/>
      <c r="B262" s="9" t="s">
        <v>11</v>
      </c>
    </row>
    <row r="263" spans="1:2">
      <c r="B263" s="9" t="s">
        <v>2026</v>
      </c>
    </row>
    <row r="264" spans="1:2">
      <c r="B264" s="9" t="s">
        <v>2027</v>
      </c>
    </row>
    <row r="265" spans="1:2">
      <c r="B265" s="9" t="s">
        <v>426</v>
      </c>
    </row>
    <row r="266" spans="1:2">
      <c r="A266" s="2"/>
      <c r="B266" s="9" t="s">
        <v>1140</v>
      </c>
    </row>
    <row r="267" spans="1:2">
      <c r="B267" s="9" t="s">
        <v>1141</v>
      </c>
    </row>
    <row r="268" spans="1:2">
      <c r="B268" s="9" t="s">
        <v>1884</v>
      </c>
    </row>
    <row r="269" spans="1:2">
      <c r="B269" s="9" t="s">
        <v>1892</v>
      </c>
    </row>
    <row r="270" spans="1:2">
      <c r="B270" s="9" t="s">
        <v>1346</v>
      </c>
    </row>
    <row r="271" spans="1:2">
      <c r="B271" s="9" t="s">
        <v>1677</v>
      </c>
    </row>
    <row r="272" spans="1:2">
      <c r="B272" s="9" t="s">
        <v>1885</v>
      </c>
    </row>
    <row r="273" spans="1:2">
      <c r="B273" s="9" t="s">
        <v>12</v>
      </c>
    </row>
    <row r="274" spans="1:2">
      <c r="B274" s="9" t="s">
        <v>700</v>
      </c>
    </row>
    <row r="275" spans="1:2">
      <c r="A275" s="2"/>
      <c r="B275" s="9" t="s">
        <v>1027</v>
      </c>
    </row>
    <row r="276" spans="1:2">
      <c r="A276" s="2"/>
      <c r="B276" s="9" t="s">
        <v>1635</v>
      </c>
    </row>
    <row r="277" spans="1:2">
      <c r="A277" s="2"/>
      <c r="B277" s="9" t="s">
        <v>1142</v>
      </c>
    </row>
    <row r="278" spans="1:2">
      <c r="B278" s="9" t="s">
        <v>879</v>
      </c>
    </row>
    <row r="279" spans="1:2">
      <c r="B279" s="9" t="s">
        <v>129</v>
      </c>
    </row>
    <row r="280" spans="1:2">
      <c r="B280" s="9" t="s">
        <v>1886</v>
      </c>
    </row>
    <row r="281" spans="1:2">
      <c r="B281" s="9" t="s">
        <v>427</v>
      </c>
    </row>
    <row r="282" spans="1:2">
      <c r="B282" s="9" t="s">
        <v>1887</v>
      </c>
    </row>
    <row r="283" spans="1:2">
      <c r="B283" s="9" t="s">
        <v>1891</v>
      </c>
    </row>
    <row r="284" spans="1:2">
      <c r="B284" s="9" t="s">
        <v>428</v>
      </c>
    </row>
    <row r="285" spans="1:2">
      <c r="B285" s="9" t="s">
        <v>1889</v>
      </c>
    </row>
    <row r="286" spans="1:2">
      <c r="B286" s="9" t="s">
        <v>1890</v>
      </c>
    </row>
    <row r="287" spans="1:2">
      <c r="B287" s="9" t="s">
        <v>429</v>
      </c>
    </row>
    <row r="288" spans="1:2">
      <c r="B288" s="9" t="s">
        <v>1881</v>
      </c>
    </row>
    <row r="289" spans="1:2">
      <c r="B289" s="9" t="s">
        <v>1882</v>
      </c>
    </row>
    <row r="290" spans="1:2">
      <c r="A290" s="9" t="s">
        <v>1856</v>
      </c>
      <c r="B290" s="9" t="s">
        <v>422</v>
      </c>
    </row>
    <row r="291" spans="1:2">
      <c r="B291" s="9" t="s">
        <v>252</v>
      </c>
    </row>
    <row r="292" spans="1:2">
      <c r="B292" s="9" t="s">
        <v>254</v>
      </c>
    </row>
    <row r="293" spans="1:2">
      <c r="B293" s="9" t="s">
        <v>307</v>
      </c>
    </row>
    <row r="294" spans="1:2">
      <c r="B294" s="9" t="s">
        <v>1569</v>
      </c>
    </row>
    <row r="295" spans="1:2">
      <c r="B295" s="9" t="s">
        <v>1571</v>
      </c>
    </row>
    <row r="296" spans="1:2">
      <c r="A296" s="9" t="s">
        <v>423</v>
      </c>
      <c r="B296" s="9" t="s">
        <v>424</v>
      </c>
    </row>
    <row r="297" spans="1:2">
      <c r="B297" s="9" t="s">
        <v>253</v>
      </c>
    </row>
    <row r="298" spans="1:2">
      <c r="B298" s="9" t="s">
        <v>1567</v>
      </c>
    </row>
    <row r="300" spans="1:2">
      <c r="A300" s="9" t="s">
        <v>458</v>
      </c>
      <c r="B300" s="9" t="s">
        <v>790</v>
      </c>
    </row>
    <row r="301" spans="1:2">
      <c r="A301" s="9" t="s">
        <v>2214</v>
      </c>
      <c r="B301" s="9" t="s">
        <v>989</v>
      </c>
    </row>
    <row r="302" spans="1:2">
      <c r="A302" s="2"/>
      <c r="B302" s="9" t="s">
        <v>966</v>
      </c>
    </row>
    <row r="303" spans="1:2">
      <c r="B303" s="9" t="s">
        <v>970</v>
      </c>
    </row>
    <row r="304" spans="1:2">
      <c r="B304" s="9" t="s">
        <v>859</v>
      </c>
    </row>
    <row r="305" spans="1:2">
      <c r="B305" s="9" t="s">
        <v>707</v>
      </c>
    </row>
    <row r="306" spans="1:2">
      <c r="B306" s="9" t="s">
        <v>987</v>
      </c>
    </row>
    <row r="307" spans="1:2">
      <c r="A307" s="2"/>
      <c r="B307" s="9" t="s">
        <v>965</v>
      </c>
    </row>
    <row r="308" spans="1:2">
      <c r="A308" s="2"/>
      <c r="B308" s="9" t="s">
        <v>985</v>
      </c>
    </row>
    <row r="309" spans="1:2">
      <c r="A309" s="2"/>
      <c r="B309" s="9" t="s">
        <v>964</v>
      </c>
    </row>
    <row r="310" spans="1:2">
      <c r="A310" s="2"/>
      <c r="B310" s="9" t="s">
        <v>986</v>
      </c>
    </row>
    <row r="311" spans="1:2">
      <c r="A311" s="2"/>
      <c r="B311" s="9" t="s">
        <v>706</v>
      </c>
    </row>
    <row r="312" spans="1:2">
      <c r="A312" s="2"/>
      <c r="B312" s="9" t="s">
        <v>968</v>
      </c>
    </row>
    <row r="313" spans="1:2">
      <c r="A313" s="2"/>
      <c r="B313" s="9" t="s">
        <v>978</v>
      </c>
    </row>
    <row r="314" spans="1:2">
      <c r="A314" s="2"/>
      <c r="B314" s="9" t="s">
        <v>977</v>
      </c>
    </row>
    <row r="315" spans="1:2">
      <c r="A315" s="2"/>
      <c r="B315" s="9" t="s">
        <v>869</v>
      </c>
    </row>
    <row r="316" spans="1:2">
      <c r="A316" s="2"/>
      <c r="B316" s="9" t="s">
        <v>971</v>
      </c>
    </row>
    <row r="317" spans="1:2">
      <c r="A317" s="2"/>
      <c r="B317" s="9" t="s">
        <v>959</v>
      </c>
    </row>
    <row r="318" spans="1:2">
      <c r="A318" s="2"/>
      <c r="B318" s="9" t="s">
        <v>969</v>
      </c>
    </row>
    <row r="319" spans="1:2">
      <c r="A319" s="2"/>
      <c r="B319" s="9" t="s">
        <v>871</v>
      </c>
    </row>
    <row r="320" spans="1:2">
      <c r="A320" s="2"/>
      <c r="B320" s="9" t="s">
        <v>967</v>
      </c>
    </row>
    <row r="321" spans="1:2">
      <c r="A321" s="2"/>
      <c r="B321" s="9" t="s">
        <v>992</v>
      </c>
    </row>
    <row r="322" spans="1:2">
      <c r="A322" s="2"/>
      <c r="B322" s="9" t="s">
        <v>703</v>
      </c>
    </row>
    <row r="323" spans="1:2">
      <c r="A323" s="2"/>
      <c r="B323" s="9" t="s">
        <v>704</v>
      </c>
    </row>
    <row r="324" spans="1:2">
      <c r="A324" s="2"/>
      <c r="B324" s="9" t="s">
        <v>702</v>
      </c>
    </row>
    <row r="325" spans="1:2">
      <c r="A325" s="2"/>
      <c r="B325" s="9" t="s">
        <v>701</v>
      </c>
    </row>
    <row r="326" spans="1:2">
      <c r="A326" s="2"/>
      <c r="B326" s="9" t="s">
        <v>705</v>
      </c>
    </row>
    <row r="327" spans="1:2">
      <c r="A327" s="2"/>
      <c r="B327" s="9" t="s">
        <v>979</v>
      </c>
    </row>
    <row r="328" spans="1:2">
      <c r="A328" s="2"/>
      <c r="B328" s="9" t="s">
        <v>963</v>
      </c>
    </row>
    <row r="329" spans="1:2">
      <c r="A329" s="2"/>
      <c r="B329" s="9" t="s">
        <v>990</v>
      </c>
    </row>
    <row r="330" spans="1:2">
      <c r="A330" s="2"/>
      <c r="B330" s="9" t="s">
        <v>974</v>
      </c>
    </row>
    <row r="331" spans="1:2">
      <c r="A331" s="2"/>
      <c r="B331" s="9" t="s">
        <v>975</v>
      </c>
    </row>
    <row r="332" spans="1:2">
      <c r="A332" s="2"/>
      <c r="B332" s="9" t="s">
        <v>988</v>
      </c>
    </row>
    <row r="333" spans="1:2">
      <c r="B333" s="9" t="s">
        <v>872</v>
      </c>
    </row>
    <row r="334" spans="1:2">
      <c r="B334" s="9" t="s">
        <v>980</v>
      </c>
    </row>
    <row r="335" spans="1:2">
      <c r="B335" s="9" t="s">
        <v>981</v>
      </c>
    </row>
    <row r="336" spans="1:2">
      <c r="B336" s="9" t="s">
        <v>982</v>
      </c>
    </row>
    <row r="337" spans="1:2">
      <c r="B337" s="9" t="s">
        <v>991</v>
      </c>
    </row>
    <row r="338" spans="1:2">
      <c r="B338" s="9" t="s">
        <v>972</v>
      </c>
    </row>
    <row r="339" spans="1:2">
      <c r="B339" s="9" t="s">
        <v>983</v>
      </c>
    </row>
    <row r="340" spans="1:2">
      <c r="B340" s="9" t="s">
        <v>973</v>
      </c>
    </row>
    <row r="341" spans="1:2">
      <c r="B341" s="9" t="s">
        <v>1266</v>
      </c>
    </row>
    <row r="342" spans="1:2">
      <c r="A342" s="9" t="s">
        <v>1583</v>
      </c>
      <c r="B342" s="9" t="s">
        <v>609</v>
      </c>
    </row>
    <row r="343" spans="1:2">
      <c r="B343" s="9" t="s">
        <v>610</v>
      </c>
    </row>
    <row r="344" spans="1:2">
      <c r="B344" s="9" t="s">
        <v>611</v>
      </c>
    </row>
    <row r="345" spans="1:2">
      <c r="B345" s="9" t="s">
        <v>938</v>
      </c>
    </row>
    <row r="346" spans="1:2">
      <c r="A346" s="9" t="s">
        <v>1856</v>
      </c>
      <c r="B346" s="9" t="s">
        <v>714</v>
      </c>
    </row>
    <row r="347" spans="1:2">
      <c r="B347" s="9" t="s">
        <v>993</v>
      </c>
    </row>
    <row r="348" spans="1:2">
      <c r="B348" s="9" t="s">
        <v>955</v>
      </c>
    </row>
    <row r="349" spans="1:2">
      <c r="B349" s="9" t="s">
        <v>1604</v>
      </c>
    </row>
    <row r="350" spans="1:2">
      <c r="B350" s="9" t="s">
        <v>1962</v>
      </c>
    </row>
    <row r="351" spans="1:2">
      <c r="B351" s="9" t="s">
        <v>612</v>
      </c>
    </row>
    <row r="352" spans="1:2">
      <c r="A352" s="9" t="s">
        <v>855</v>
      </c>
      <c r="B352" s="9" t="s">
        <v>856</v>
      </c>
    </row>
    <row r="353" spans="1:2">
      <c r="B353" s="9" t="s">
        <v>1398</v>
      </c>
    </row>
    <row r="354" spans="1:2">
      <c r="B354" s="9" t="s">
        <v>857</v>
      </c>
    </row>
    <row r="355" spans="1:2">
      <c r="B355" s="9" t="s">
        <v>858</v>
      </c>
    </row>
    <row r="356" spans="1:2">
      <c r="B356" s="9" t="s">
        <v>1150</v>
      </c>
    </row>
    <row r="358" spans="1:2">
      <c r="A358" s="9" t="s">
        <v>189</v>
      </c>
      <c r="B358" s="9" t="s">
        <v>790</v>
      </c>
    </row>
    <row r="359" spans="1:2">
      <c r="A359" s="9" t="s">
        <v>2214</v>
      </c>
      <c r="B359" s="9" t="s">
        <v>1290</v>
      </c>
    </row>
    <row r="360" spans="1:2">
      <c r="A360" s="2"/>
      <c r="B360" s="9" t="s">
        <v>1291</v>
      </c>
    </row>
    <row r="361" spans="1:2">
      <c r="A361" s="2"/>
      <c r="B361" s="9" t="s">
        <v>811</v>
      </c>
    </row>
    <row r="362" spans="1:2">
      <c r="A362" s="2"/>
      <c r="B362" s="9" t="s">
        <v>1357</v>
      </c>
    </row>
    <row r="363" spans="1:2">
      <c r="A363" s="2"/>
      <c r="B363" s="9" t="s">
        <v>188</v>
      </c>
    </row>
    <row r="364" spans="1:2">
      <c r="A364" s="2" t="s">
        <v>1583</v>
      </c>
      <c r="B364" s="9" t="s">
        <v>1911</v>
      </c>
    </row>
    <row r="365" spans="1:2">
      <c r="A365" s="2"/>
      <c r="B365" s="9" t="s">
        <v>1129</v>
      </c>
    </row>
    <row r="366" spans="1:2">
      <c r="A366" s="2"/>
      <c r="B366" s="9" t="s">
        <v>190</v>
      </c>
    </row>
    <row r="367" spans="1:2">
      <c r="A367" s="2"/>
      <c r="B367" s="9" t="s">
        <v>560</v>
      </c>
    </row>
    <row r="368" spans="1:2">
      <c r="A368" s="2"/>
      <c r="B368" s="9" t="s">
        <v>1630</v>
      </c>
    </row>
    <row r="369" spans="1:2">
      <c r="A369" s="2"/>
      <c r="B369" s="9" t="s">
        <v>1636</v>
      </c>
    </row>
    <row r="370" spans="1:2">
      <c r="A370" s="2"/>
      <c r="B370" s="9" t="s">
        <v>1741</v>
      </c>
    </row>
    <row r="371" spans="1:2">
      <c r="A371" s="2"/>
      <c r="B371" s="9" t="s">
        <v>1631</v>
      </c>
    </row>
    <row r="372" spans="1:2">
      <c r="A372" s="2"/>
      <c r="B372" s="9" t="s">
        <v>1632</v>
      </c>
    </row>
    <row r="373" spans="1:2">
      <c r="A373" s="2"/>
      <c r="B373" s="9" t="s">
        <v>1740</v>
      </c>
    </row>
    <row r="374" spans="1:2">
      <c r="A374" s="2"/>
      <c r="B374" s="9" t="s">
        <v>1633</v>
      </c>
    </row>
    <row r="375" spans="1:2">
      <c r="A375" s="2"/>
      <c r="B375" s="9" t="s">
        <v>45</v>
      </c>
    </row>
    <row r="376" spans="1:2">
      <c r="A376" s="2"/>
      <c r="B376" s="9" t="s">
        <v>52</v>
      </c>
    </row>
    <row r="377" spans="1:2">
      <c r="A377" s="2"/>
      <c r="B377" s="9" t="s">
        <v>1637</v>
      </c>
    </row>
    <row r="378" spans="1:2">
      <c r="A378" s="2" t="s">
        <v>1856</v>
      </c>
      <c r="B378" s="9" t="s">
        <v>1292</v>
      </c>
    </row>
    <row r="379" spans="1:2">
      <c r="A379" s="2"/>
      <c r="B379" s="9" t="s">
        <v>1293</v>
      </c>
    </row>
    <row r="380" spans="1:2">
      <c r="A380" s="2"/>
      <c r="B380" s="9" t="s">
        <v>1130</v>
      </c>
    </row>
    <row r="381" spans="1:2">
      <c r="A381" s="2"/>
      <c r="B381" s="9" t="s">
        <v>1652</v>
      </c>
    </row>
    <row r="382" spans="1:2">
      <c r="A382" s="2"/>
      <c r="B382" s="9" t="s">
        <v>114</v>
      </c>
    </row>
    <row r="383" spans="1:2">
      <c r="A383" s="2"/>
      <c r="B383" s="9" t="s">
        <v>606</v>
      </c>
    </row>
    <row r="384" spans="1:2">
      <c r="A384" s="2"/>
      <c r="B384" s="9" t="s">
        <v>40</v>
      </c>
    </row>
    <row r="385" spans="1:2">
      <c r="A385" s="2"/>
      <c r="B385" s="9" t="s">
        <v>42</v>
      </c>
    </row>
    <row r="386" spans="1:2">
      <c r="A386" s="2"/>
      <c r="B386" s="9" t="s">
        <v>41</v>
      </c>
    </row>
    <row r="387" spans="1:2">
      <c r="A387" s="2" t="s">
        <v>2070</v>
      </c>
      <c r="B387" s="9" t="s">
        <v>43</v>
      </c>
    </row>
    <row r="388" spans="1:2">
      <c r="A388" s="2"/>
      <c r="B388" s="9" t="s">
        <v>51</v>
      </c>
    </row>
    <row r="389" spans="1:2">
      <c r="B389" s="9" t="s">
        <v>1618</v>
      </c>
    </row>
    <row r="390" spans="1:2">
      <c r="B390" s="9" t="s">
        <v>1619</v>
      </c>
    </row>
    <row r="391" spans="1:2">
      <c r="B391" s="9" t="s">
        <v>2068</v>
      </c>
    </row>
    <row r="393" spans="1:2">
      <c r="A393" s="9" t="s">
        <v>1855</v>
      </c>
      <c r="B393" s="9" t="s">
        <v>790</v>
      </c>
    </row>
    <row r="394" spans="1:2">
      <c r="A394" s="9" t="s">
        <v>2214</v>
      </c>
      <c r="B394" s="9" t="s">
        <v>2215</v>
      </c>
    </row>
    <row r="395" spans="1:2">
      <c r="A395" s="9" t="s">
        <v>1856</v>
      </c>
      <c r="B395" s="9" t="s">
        <v>2217</v>
      </c>
    </row>
    <row r="396" spans="1:2">
      <c r="B396" s="9" t="s">
        <v>497</v>
      </c>
    </row>
    <row r="397" spans="1:2">
      <c r="B397" s="9" t="s">
        <v>2216</v>
      </c>
    </row>
    <row r="398" spans="1:2">
      <c r="B398" s="9" t="s">
        <v>995</v>
      </c>
    </row>
    <row r="399" spans="1:2">
      <c r="B399" s="9" t="s">
        <v>1339</v>
      </c>
    </row>
    <row r="400" spans="1:2">
      <c r="B400" s="9" t="s">
        <v>2212</v>
      </c>
    </row>
    <row r="401" spans="1:2">
      <c r="B401" s="9" t="s">
        <v>2218</v>
      </c>
    </row>
    <row r="403" spans="1:2">
      <c r="A403" s="9" t="s">
        <v>1353</v>
      </c>
      <c r="B403" s="9" t="s">
        <v>790</v>
      </c>
    </row>
    <row r="404" spans="1:2">
      <c r="A404" s="9" t="s">
        <v>2247</v>
      </c>
      <c r="B404" s="9" t="s">
        <v>791</v>
      </c>
    </row>
    <row r="405" spans="1:2">
      <c r="A405" s="9" t="s">
        <v>2178</v>
      </c>
      <c r="B405" s="9" t="s">
        <v>1424</v>
      </c>
    </row>
    <row r="406" spans="1:2">
      <c r="B406" s="9" t="s">
        <v>1425</v>
      </c>
    </row>
    <row r="407" spans="1:2">
      <c r="B407" s="9" t="s">
        <v>488</v>
      </c>
    </row>
    <row r="408" spans="1:2">
      <c r="B408" s="9" t="s">
        <v>489</v>
      </c>
    </row>
    <row r="409" spans="1:2">
      <c r="B409" s="9" t="s">
        <v>1336</v>
      </c>
    </row>
    <row r="410" spans="1:2">
      <c r="B410" s="9" t="s">
        <v>873</v>
      </c>
    </row>
    <row r="411" spans="1:2">
      <c r="A411" s="9" t="s">
        <v>2246</v>
      </c>
      <c r="B411" s="9" t="s">
        <v>261</v>
      </c>
    </row>
    <row r="412" spans="1:2">
      <c r="B412" s="9" t="s">
        <v>262</v>
      </c>
    </row>
    <row r="413" spans="1:2">
      <c r="B413" s="9" t="s">
        <v>852</v>
      </c>
    </row>
    <row r="415" spans="1:2">
      <c r="A415" s="9" t="s">
        <v>1964</v>
      </c>
      <c r="B415" s="9" t="s">
        <v>790</v>
      </c>
    </row>
    <row r="416" spans="1:2">
      <c r="A416" s="9" t="s">
        <v>2247</v>
      </c>
      <c r="B416" s="9" t="s">
        <v>534</v>
      </c>
    </row>
    <row r="417" spans="1:2">
      <c r="B417" s="9" t="s">
        <v>889</v>
      </c>
    </row>
    <row r="418" spans="1:2">
      <c r="B418" s="9" t="s">
        <v>890</v>
      </c>
    </row>
    <row r="419" spans="1:2">
      <c r="B419" s="9" t="s">
        <v>1593</v>
      </c>
    </row>
    <row r="420" spans="1:2">
      <c r="A420" s="9" t="s">
        <v>2246</v>
      </c>
      <c r="B420" s="9" t="s">
        <v>1854</v>
      </c>
    </row>
    <row r="421" spans="1:2">
      <c r="A421" s="9" t="s">
        <v>2178</v>
      </c>
      <c r="B421" s="9" t="s">
        <v>1963</v>
      </c>
    </row>
    <row r="422" spans="1:2">
      <c r="B422" s="9" t="s">
        <v>795</v>
      </c>
    </row>
    <row r="423" spans="1:2">
      <c r="B423" s="9" t="s">
        <v>7</v>
      </c>
    </row>
    <row r="424" spans="1:2">
      <c r="B424" s="9" t="s">
        <v>896</v>
      </c>
    </row>
    <row r="425" spans="1:2">
      <c r="B425" s="9" t="s">
        <v>2181</v>
      </c>
    </row>
    <row r="426" spans="1:2">
      <c r="B426" s="9" t="s">
        <v>2182</v>
      </c>
    </row>
    <row r="427" spans="1:2">
      <c r="B427" s="9" t="s">
        <v>2183</v>
      </c>
    </row>
    <row r="428" spans="1:2">
      <c r="B428" s="9" t="s">
        <v>1560</v>
      </c>
    </row>
    <row r="429" spans="1:2">
      <c r="B429" s="9" t="s">
        <v>1853</v>
      </c>
    </row>
    <row r="430" spans="1:2">
      <c r="A430" s="9" t="s">
        <v>1565</v>
      </c>
      <c r="B430" s="9" t="s">
        <v>1561</v>
      </c>
    </row>
    <row r="432" spans="1:2">
      <c r="A432" s="9" t="s">
        <v>500</v>
      </c>
      <c r="B432" s="9" t="s">
        <v>790</v>
      </c>
    </row>
    <row r="433" spans="1:2">
      <c r="A433" s="9" t="s">
        <v>2247</v>
      </c>
      <c r="B433" s="9" t="s">
        <v>1925</v>
      </c>
    </row>
    <row r="434" spans="1:2">
      <c r="B434" s="9" t="s">
        <v>453</v>
      </c>
    </row>
    <row r="435" spans="1:2">
      <c r="B435" s="6" t="s">
        <v>1926</v>
      </c>
    </row>
    <row r="436" spans="1:2">
      <c r="A436" s="9" t="s">
        <v>452</v>
      </c>
      <c r="B436" s="6" t="s">
        <v>907</v>
      </c>
    </row>
    <row r="437" spans="1:2">
      <c r="A437" s="9" t="s">
        <v>2178</v>
      </c>
      <c r="B437" s="9" t="s">
        <v>501</v>
      </c>
    </row>
    <row r="438" spans="1:2">
      <c r="B438" s="9" t="s">
        <v>502</v>
      </c>
    </row>
    <row r="439" spans="1:2">
      <c r="B439" s="9" t="s">
        <v>503</v>
      </c>
    </row>
    <row r="440" spans="1:2">
      <c r="B440" s="9" t="s">
        <v>906</v>
      </c>
    </row>
    <row r="441" spans="1:2">
      <c r="B441" s="9" t="s">
        <v>1924</v>
      </c>
    </row>
    <row r="442" spans="1:2">
      <c r="B442" s="9" t="s">
        <v>905</v>
      </c>
    </row>
    <row r="444" spans="1:2">
      <c r="A444" s="9" t="s">
        <v>1477</v>
      </c>
      <c r="B444" s="9" t="s">
        <v>790</v>
      </c>
    </row>
    <row r="445" spans="1:2">
      <c r="A445" s="9" t="s">
        <v>2246</v>
      </c>
      <c r="B445" s="9" t="s">
        <v>1658</v>
      </c>
    </row>
    <row r="446" spans="1:2">
      <c r="B446" s="9" t="s">
        <v>1007</v>
      </c>
    </row>
    <row r="447" spans="1:2">
      <c r="A447" s="9" t="s">
        <v>2247</v>
      </c>
      <c r="B447" s="9" t="s">
        <v>1006</v>
      </c>
    </row>
    <row r="448" spans="1:2">
      <c r="B448" s="9" t="s">
        <v>1206</v>
      </c>
    </row>
    <row r="449" spans="1:2">
      <c r="B449" s="9" t="s">
        <v>1229</v>
      </c>
    </row>
    <row r="450" spans="1:2">
      <c r="B450" s="9" t="s">
        <v>1230</v>
      </c>
    </row>
    <row r="451" spans="1:2">
      <c r="B451" s="9" t="s">
        <v>1407</v>
      </c>
    </row>
    <row r="452" spans="1:2">
      <c r="B452" s="9" t="s">
        <v>1493</v>
      </c>
    </row>
    <row r="453" spans="1:2">
      <c r="B453" s="9" t="s">
        <v>1496</v>
      </c>
    </row>
    <row r="454" spans="1:2">
      <c r="B454" s="9" t="s">
        <v>1503</v>
      </c>
    </row>
    <row r="455" spans="1:2">
      <c r="B455" s="9" t="s">
        <v>1504</v>
      </c>
    </row>
    <row r="456" spans="1:2">
      <c r="B456" s="9" t="s">
        <v>1505</v>
      </c>
    </row>
    <row r="457" spans="1:2">
      <c r="B457" s="9" t="s">
        <v>1506</v>
      </c>
    </row>
    <row r="458" spans="1:2">
      <c r="B458" s="9" t="s">
        <v>1507</v>
      </c>
    </row>
    <row r="459" spans="1:2">
      <c r="B459" s="9" t="s">
        <v>1508</v>
      </c>
    </row>
    <row r="460" spans="1:2">
      <c r="A460" s="9" t="s">
        <v>1565</v>
      </c>
      <c r="B460" s="9" t="s">
        <v>1913</v>
      </c>
    </row>
    <row r="461" spans="1:2">
      <c r="B461" s="9" t="s">
        <v>1509</v>
      </c>
    </row>
    <row r="462" spans="1:2">
      <c r="A462" s="9" t="s">
        <v>2178</v>
      </c>
      <c r="B462" s="9" t="s">
        <v>1481</v>
      </c>
    </row>
    <row r="463" spans="1:2">
      <c r="B463" s="9" t="s">
        <v>1482</v>
      </c>
    </row>
    <row r="464" spans="1:2">
      <c r="B464" s="9" t="s">
        <v>1467</v>
      </c>
    </row>
    <row r="465" spans="1:2">
      <c r="B465" s="9" t="s">
        <v>136</v>
      </c>
    </row>
    <row r="467" spans="1:2">
      <c r="A467" s="9" t="s">
        <v>1478</v>
      </c>
      <c r="B467" s="9" t="s">
        <v>1479</v>
      </c>
    </row>
    <row r="468" spans="1:2">
      <c r="A468" s="9" t="s">
        <v>2247</v>
      </c>
      <c r="B468" s="9" t="s">
        <v>1480</v>
      </c>
    </row>
    <row r="470" spans="1:2">
      <c r="A470" s="9" t="s">
        <v>1061</v>
      </c>
      <c r="B470" s="9" t="s">
        <v>790</v>
      </c>
    </row>
    <row r="471" spans="1:2">
      <c r="A471" s="9" t="s">
        <v>2246</v>
      </c>
      <c r="B471" s="9" t="s">
        <v>1057</v>
      </c>
    </row>
    <row r="472" spans="1:2">
      <c r="A472" s="9" t="s">
        <v>2178</v>
      </c>
      <c r="B472" s="9" t="s">
        <v>283</v>
      </c>
    </row>
    <row r="473" spans="1:2">
      <c r="B473" s="9" t="s">
        <v>284</v>
      </c>
    </row>
    <row r="474" spans="1:2">
      <c r="B474" s="9" t="s">
        <v>285</v>
      </c>
    </row>
    <row r="475" spans="1:2">
      <c r="B475" s="9" t="s">
        <v>286</v>
      </c>
    </row>
    <row r="476" spans="1:2">
      <c r="B476" s="9" t="s">
        <v>287</v>
      </c>
    </row>
    <row r="477" spans="1:2">
      <c r="B477" s="9" t="s">
        <v>288</v>
      </c>
    </row>
    <row r="478" spans="1:2">
      <c r="B478" s="9" t="s">
        <v>289</v>
      </c>
    </row>
    <row r="479" spans="1:2">
      <c r="B479" s="9" t="s">
        <v>1023</v>
      </c>
    </row>
    <row r="480" spans="1:2">
      <c r="B480" s="9" t="s">
        <v>757</v>
      </c>
    </row>
    <row r="481" spans="1:2">
      <c r="B481" s="9" t="s">
        <v>758</v>
      </c>
    </row>
    <row r="482" spans="1:2">
      <c r="B482" s="9" t="s">
        <v>1058</v>
      </c>
    </row>
    <row r="483" spans="1:2">
      <c r="B483" s="9" t="s">
        <v>1060</v>
      </c>
    </row>
    <row r="484" spans="1:2">
      <c r="B484" s="9" t="s">
        <v>1059</v>
      </c>
    </row>
    <row r="486" spans="1:2">
      <c r="A486" s="9" t="s">
        <v>1125</v>
      </c>
      <c r="B486" s="9" t="s">
        <v>790</v>
      </c>
    </row>
    <row r="487" spans="1:2">
      <c r="A487" s="9" t="s">
        <v>2178</v>
      </c>
      <c r="B487" s="9" t="s">
        <v>1126</v>
      </c>
    </row>
    <row r="488" spans="1:2">
      <c r="B488" s="9" t="s">
        <v>1127</v>
      </c>
    </row>
    <row r="489" spans="1:2">
      <c r="A489" s="9" t="s">
        <v>2247</v>
      </c>
      <c r="B489" s="9" t="s">
        <v>1128</v>
      </c>
    </row>
    <row r="490" spans="1:2">
      <c r="B490" s="9" t="s">
        <v>867</v>
      </c>
    </row>
    <row r="492" spans="1:2">
      <c r="A492" s="9" t="s">
        <v>2263</v>
      </c>
      <c r="B492" s="9" t="s">
        <v>790</v>
      </c>
    </row>
    <row r="493" spans="1:2">
      <c r="A493" s="9" t="s">
        <v>2246</v>
      </c>
      <c r="B493" s="9" t="s">
        <v>160</v>
      </c>
    </row>
    <row r="495" spans="1:2">
      <c r="A495" s="9" t="s">
        <v>2262</v>
      </c>
      <c r="B495" s="9" t="s">
        <v>790</v>
      </c>
    </row>
    <row r="496" spans="1:2">
      <c r="A496" s="9" t="s">
        <v>2246</v>
      </c>
      <c r="B496" s="9" t="s">
        <v>1768</v>
      </c>
    </row>
    <row r="497" spans="1:256">
      <c r="B497" s="9" t="s">
        <v>1959</v>
      </c>
    </row>
    <row r="498" spans="1:256">
      <c r="A498" s="9" t="s">
        <v>2247</v>
      </c>
      <c r="B498" s="9" t="s">
        <v>165</v>
      </c>
    </row>
    <row r="499" spans="1:256">
      <c r="A499" s="9" t="s">
        <v>1565</v>
      </c>
      <c r="B499" s="9" t="s">
        <v>162</v>
      </c>
    </row>
    <row r="500" spans="1:256">
      <c r="B500" s="9" t="s">
        <v>1769</v>
      </c>
    </row>
    <row r="501" spans="1:256">
      <c r="A501" s="9" t="s">
        <v>2178</v>
      </c>
      <c r="B501" s="9" t="s">
        <v>530</v>
      </c>
    </row>
    <row r="502" spans="1:256">
      <c r="B502" s="9" t="s">
        <v>529</v>
      </c>
    </row>
    <row r="503" spans="1:256">
      <c r="B503" s="9" t="s">
        <v>230</v>
      </c>
    </row>
    <row r="504" spans="1:256">
      <c r="B504" s="9" t="s">
        <v>166</v>
      </c>
    </row>
    <row r="505" spans="1:256">
      <c r="B505" s="10" t="s">
        <v>1770</v>
      </c>
    </row>
    <row r="506" spans="1:256">
      <c r="B506" s="9" t="s">
        <v>1956</v>
      </c>
    </row>
    <row r="507" spans="1:256">
      <c r="B507" s="10" t="s">
        <v>1957</v>
      </c>
    </row>
    <row r="508" spans="1:256">
      <c r="B508" s="10" t="s">
        <v>1958</v>
      </c>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E508" s="9"/>
      <c r="BF508" s="9"/>
      <c r="BG508" s="9"/>
      <c r="BH508" s="9"/>
      <c r="BI508" s="9"/>
      <c r="BJ508" s="9"/>
      <c r="BK508" s="9"/>
      <c r="BL508" s="9"/>
      <c r="BM508" s="9"/>
      <c r="BN508" s="9"/>
      <c r="BO508" s="9"/>
      <c r="BP508" s="9"/>
      <c r="BQ508" s="9"/>
      <c r="BR508" s="9"/>
      <c r="BS508" s="9"/>
      <c r="BT508" s="9"/>
      <c r="BU508" s="9"/>
      <c r="BV508" s="9"/>
      <c r="BW508" s="9"/>
      <c r="BX508" s="9"/>
      <c r="BY508" s="9"/>
      <c r="BZ508" s="9"/>
      <c r="CA508" s="9"/>
      <c r="CB508" s="9"/>
      <c r="CC508" s="9"/>
      <c r="CD508" s="9"/>
      <c r="CE508" s="9"/>
      <c r="CF508" s="9"/>
      <c r="CG508" s="9"/>
      <c r="CH508" s="9"/>
      <c r="CI508" s="9"/>
      <c r="CJ508" s="9"/>
      <c r="CK508" s="9"/>
      <c r="CL508" s="9"/>
      <c r="CM508" s="9"/>
      <c r="CN508" s="9"/>
      <c r="CO508" s="9"/>
      <c r="CP508" s="9"/>
      <c r="CQ508" s="9"/>
      <c r="CR508" s="9"/>
      <c r="CS508" s="9"/>
      <c r="CT508" s="9"/>
      <c r="CU508" s="9"/>
      <c r="CV508" s="9"/>
      <c r="CW508" s="9"/>
      <c r="CX508" s="9"/>
      <c r="CY508" s="9"/>
      <c r="CZ508" s="9"/>
      <c r="DA508" s="9"/>
      <c r="DB508" s="9"/>
      <c r="DC508" s="9"/>
      <c r="DD508" s="9"/>
      <c r="DE508" s="9"/>
      <c r="DF508" s="9"/>
      <c r="DG508" s="9"/>
      <c r="DH508" s="9"/>
      <c r="DI508" s="9"/>
      <c r="DJ508" s="9"/>
      <c r="DK508" s="9"/>
      <c r="DL508" s="9"/>
      <c r="DM508" s="9"/>
      <c r="DN508" s="9"/>
      <c r="DO508" s="9"/>
      <c r="DP508" s="9"/>
      <c r="DQ508" s="9"/>
      <c r="DR508" s="9"/>
      <c r="DS508" s="9"/>
      <c r="DT508" s="9"/>
      <c r="DU508" s="9"/>
      <c r="DV508" s="9"/>
      <c r="DW508" s="9"/>
      <c r="DX508" s="9"/>
      <c r="DY508" s="9"/>
      <c r="DZ508" s="9"/>
      <c r="EA508" s="9"/>
      <c r="EB508" s="9"/>
      <c r="EC508" s="9"/>
      <c r="ED508" s="9"/>
      <c r="EE508" s="9"/>
      <c r="EF508" s="9"/>
      <c r="EG508" s="9"/>
      <c r="EH508" s="9"/>
      <c r="EI508" s="9"/>
      <c r="EJ508" s="9"/>
      <c r="EK508" s="9"/>
      <c r="EL508" s="9"/>
      <c r="EM508" s="9"/>
      <c r="EN508" s="9"/>
      <c r="EO508" s="9"/>
      <c r="EP508" s="9"/>
      <c r="EQ508" s="9"/>
      <c r="ER508" s="9"/>
      <c r="ES508" s="9"/>
      <c r="ET508" s="9"/>
      <c r="EU508" s="9"/>
      <c r="EV508" s="9"/>
      <c r="EW508" s="9"/>
      <c r="EX508" s="9"/>
      <c r="EY508" s="9"/>
      <c r="EZ508" s="9"/>
      <c r="FA508" s="9"/>
      <c r="FB508" s="9"/>
      <c r="FC508" s="9"/>
      <c r="FD508" s="9"/>
      <c r="FE508" s="9"/>
      <c r="FF508" s="9"/>
      <c r="FG508" s="9"/>
      <c r="FH508" s="9"/>
      <c r="FI508" s="9"/>
      <c r="FJ508" s="9"/>
      <c r="FK508" s="9"/>
      <c r="FL508" s="9"/>
      <c r="FM508" s="9"/>
      <c r="FN508" s="9"/>
      <c r="FO508" s="9"/>
      <c r="FP508" s="9"/>
      <c r="FQ508" s="9"/>
      <c r="FR508" s="9"/>
      <c r="FS508" s="9"/>
      <c r="FT508" s="9"/>
      <c r="FU508" s="9"/>
      <c r="FV508" s="9"/>
      <c r="FW508" s="9"/>
      <c r="FX508" s="9"/>
      <c r="FY508" s="9"/>
      <c r="FZ508" s="9"/>
      <c r="GA508" s="9"/>
      <c r="GB508" s="9"/>
      <c r="GC508" s="9"/>
      <c r="GD508" s="9"/>
      <c r="GE508" s="9"/>
      <c r="GF508" s="9"/>
      <c r="GG508" s="9"/>
      <c r="GH508" s="9"/>
      <c r="GI508" s="9"/>
      <c r="GJ508" s="9"/>
      <c r="GK508" s="9"/>
      <c r="GL508" s="9"/>
      <c r="GM508" s="9"/>
      <c r="GN508" s="9"/>
      <c r="GO508" s="9"/>
      <c r="GP508" s="9"/>
      <c r="GQ508" s="9"/>
      <c r="GR508" s="9"/>
      <c r="GS508" s="9"/>
      <c r="GT508" s="9"/>
      <c r="GU508" s="9"/>
      <c r="GV508" s="9"/>
      <c r="GW508" s="9"/>
      <c r="GX508" s="9"/>
      <c r="GY508" s="9"/>
      <c r="GZ508" s="9"/>
      <c r="HA508" s="9"/>
      <c r="HB508" s="9"/>
      <c r="HC508" s="9"/>
      <c r="HD508" s="9"/>
      <c r="HE508" s="9"/>
      <c r="HF508" s="9"/>
      <c r="HG508" s="9"/>
      <c r="HH508" s="9"/>
      <c r="HI508" s="9"/>
      <c r="HJ508" s="9"/>
      <c r="HK508" s="9"/>
      <c r="HL508" s="9"/>
      <c r="HM508" s="9"/>
      <c r="HN508" s="9"/>
      <c r="HO508" s="9"/>
      <c r="HP508" s="9"/>
      <c r="HQ508" s="9"/>
      <c r="HR508" s="9"/>
      <c r="HS508" s="9"/>
      <c r="HT508" s="9"/>
      <c r="HU508" s="9"/>
      <c r="HV508" s="9"/>
      <c r="HW508" s="9"/>
      <c r="HX508" s="9"/>
      <c r="HY508" s="9"/>
      <c r="HZ508" s="9"/>
      <c r="IA508" s="9"/>
      <c r="IB508" s="9"/>
      <c r="IC508" s="9"/>
      <c r="ID508" s="9"/>
      <c r="IE508" s="9"/>
      <c r="IF508" s="9"/>
      <c r="IG508" s="9"/>
      <c r="IH508" s="9"/>
      <c r="II508" s="9"/>
      <c r="IJ508" s="9"/>
      <c r="IK508" s="9"/>
      <c r="IL508" s="9"/>
      <c r="IM508" s="9"/>
      <c r="IN508" s="9"/>
      <c r="IO508" s="9"/>
      <c r="IP508" s="9"/>
      <c r="IQ508" s="9"/>
      <c r="IR508" s="9"/>
      <c r="IS508" s="9"/>
      <c r="IT508" s="9"/>
      <c r="IU508" s="9"/>
      <c r="IV508" s="9"/>
    </row>
    <row r="509" spans="1:256">
      <c r="B509" s="10" t="s">
        <v>1960</v>
      </c>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E509" s="9"/>
      <c r="BF509" s="9"/>
      <c r="BG509" s="9"/>
      <c r="BH509" s="9"/>
      <c r="BI509" s="9"/>
      <c r="BJ509" s="9"/>
      <c r="BK509" s="9"/>
      <c r="BL509" s="9"/>
      <c r="BM509" s="9"/>
      <c r="BN509" s="9"/>
      <c r="BO509" s="9"/>
      <c r="BP509" s="9"/>
      <c r="BQ509" s="9"/>
      <c r="BR509" s="9"/>
      <c r="BS509" s="9"/>
      <c r="BT509" s="9"/>
      <c r="BU509" s="9"/>
      <c r="BV509" s="9"/>
      <c r="BW509" s="9"/>
      <c r="BX509" s="9"/>
      <c r="BY509" s="9"/>
      <c r="BZ509" s="9"/>
      <c r="CA509" s="9"/>
      <c r="CB509" s="9"/>
      <c r="CC509" s="9"/>
      <c r="CD509" s="9"/>
      <c r="CE509" s="9"/>
      <c r="CF509" s="9"/>
      <c r="CG509" s="9"/>
      <c r="CH509" s="9"/>
      <c r="CI509" s="9"/>
      <c r="CJ509" s="9"/>
      <c r="CK509" s="9"/>
      <c r="CL509" s="9"/>
      <c r="CM509" s="9"/>
      <c r="CN509" s="9"/>
      <c r="CO509" s="9"/>
      <c r="CP509" s="9"/>
      <c r="CQ509" s="9"/>
      <c r="CR509" s="9"/>
      <c r="CS509" s="9"/>
      <c r="CT509" s="9"/>
      <c r="CU509" s="9"/>
      <c r="CV509" s="9"/>
      <c r="CW509" s="9"/>
      <c r="CX509" s="9"/>
      <c r="CY509" s="9"/>
      <c r="CZ509" s="9"/>
      <c r="DA509" s="9"/>
      <c r="DB509" s="9"/>
      <c r="DC509" s="9"/>
      <c r="DD509" s="9"/>
      <c r="DE509" s="9"/>
      <c r="DF509" s="9"/>
      <c r="DG509" s="9"/>
      <c r="DH509" s="9"/>
      <c r="DI509" s="9"/>
      <c r="DJ509" s="9"/>
      <c r="DK509" s="9"/>
      <c r="DL509" s="9"/>
      <c r="DM509" s="9"/>
      <c r="DN509" s="9"/>
      <c r="DO509" s="9"/>
      <c r="DP509" s="9"/>
      <c r="DQ509" s="9"/>
      <c r="DR509" s="9"/>
      <c r="DS509" s="9"/>
      <c r="DT509" s="9"/>
      <c r="DU509" s="9"/>
      <c r="DV509" s="9"/>
      <c r="DW509" s="9"/>
      <c r="DX509" s="9"/>
      <c r="DY509" s="9"/>
      <c r="DZ509" s="9"/>
      <c r="EA509" s="9"/>
      <c r="EB509" s="9"/>
      <c r="EC509" s="9"/>
      <c r="ED509" s="9"/>
      <c r="EE509" s="9"/>
      <c r="EF509" s="9"/>
      <c r="EG509" s="9"/>
      <c r="EH509" s="9"/>
      <c r="EI509" s="9"/>
      <c r="EJ509" s="9"/>
      <c r="EK509" s="9"/>
      <c r="EL509" s="9"/>
      <c r="EM509" s="9"/>
      <c r="EN509" s="9"/>
      <c r="EO509" s="9"/>
      <c r="EP509" s="9"/>
      <c r="EQ509" s="9"/>
      <c r="ER509" s="9"/>
      <c r="ES509" s="9"/>
      <c r="ET509" s="9"/>
      <c r="EU509" s="9"/>
      <c r="EV509" s="9"/>
      <c r="EW509" s="9"/>
      <c r="EX509" s="9"/>
      <c r="EY509" s="9"/>
      <c r="EZ509" s="9"/>
      <c r="FA509" s="9"/>
      <c r="FB509" s="9"/>
      <c r="FC509" s="9"/>
      <c r="FD509" s="9"/>
      <c r="FE509" s="9"/>
      <c r="FF509" s="9"/>
      <c r="FG509" s="9"/>
      <c r="FH509" s="9"/>
      <c r="FI509" s="9"/>
      <c r="FJ509" s="9"/>
      <c r="FK509" s="9"/>
      <c r="FL509" s="9"/>
      <c r="FM509" s="9"/>
      <c r="FN509" s="9"/>
      <c r="FO509" s="9"/>
      <c r="FP509" s="9"/>
      <c r="FQ509" s="9"/>
      <c r="FR509" s="9"/>
      <c r="FS509" s="9"/>
      <c r="FT509" s="9"/>
      <c r="FU509" s="9"/>
      <c r="FV509" s="9"/>
      <c r="FW509" s="9"/>
      <c r="FX509" s="9"/>
      <c r="FY509" s="9"/>
      <c r="FZ509" s="9"/>
      <c r="GA509" s="9"/>
      <c r="GB509" s="9"/>
      <c r="GC509" s="9"/>
      <c r="GD509" s="9"/>
      <c r="GE509" s="9"/>
      <c r="GF509" s="9"/>
      <c r="GG509" s="9"/>
      <c r="GH509" s="9"/>
      <c r="GI509" s="9"/>
      <c r="GJ509" s="9"/>
      <c r="GK509" s="9"/>
      <c r="GL509" s="9"/>
      <c r="GM509" s="9"/>
      <c r="GN509" s="9"/>
      <c r="GO509" s="9"/>
      <c r="GP509" s="9"/>
      <c r="GQ509" s="9"/>
      <c r="GR509" s="9"/>
      <c r="GS509" s="9"/>
      <c r="GT509" s="9"/>
      <c r="GU509" s="9"/>
      <c r="GV509" s="9"/>
      <c r="GW509" s="9"/>
      <c r="GX509" s="9"/>
      <c r="GY509" s="9"/>
      <c r="GZ509" s="9"/>
      <c r="HA509" s="9"/>
      <c r="HB509" s="9"/>
      <c r="HC509" s="9"/>
      <c r="HD509" s="9"/>
      <c r="HE509" s="9"/>
      <c r="HF509" s="9"/>
      <c r="HG509" s="9"/>
      <c r="HH509" s="9"/>
      <c r="HI509" s="9"/>
      <c r="HJ509" s="9"/>
      <c r="HK509" s="9"/>
      <c r="HL509" s="9"/>
      <c r="HM509" s="9"/>
      <c r="HN509" s="9"/>
      <c r="HO509" s="9"/>
      <c r="HP509" s="9"/>
      <c r="HQ509" s="9"/>
      <c r="HR509" s="9"/>
      <c r="HS509" s="9"/>
      <c r="HT509" s="9"/>
      <c r="HU509" s="9"/>
      <c r="HV509" s="9"/>
      <c r="HW509" s="9"/>
      <c r="HX509" s="9"/>
      <c r="HY509" s="9"/>
      <c r="HZ509" s="9"/>
      <c r="IA509" s="9"/>
      <c r="IB509" s="9"/>
      <c r="IC509" s="9"/>
      <c r="ID509" s="9"/>
      <c r="IE509" s="9"/>
      <c r="IF509" s="9"/>
      <c r="IG509" s="9"/>
      <c r="IH509" s="9"/>
      <c r="II509" s="9"/>
      <c r="IJ509" s="9"/>
      <c r="IK509" s="9"/>
      <c r="IL509" s="9"/>
      <c r="IM509" s="9"/>
      <c r="IN509" s="9"/>
      <c r="IO509" s="9"/>
      <c r="IP509" s="9"/>
      <c r="IQ509" s="9"/>
      <c r="IR509" s="9"/>
      <c r="IS509" s="9"/>
      <c r="IT509" s="9"/>
      <c r="IU509" s="9"/>
      <c r="IV509" s="9"/>
    </row>
    <row r="510" spans="1:256">
      <c r="B510" s="10" t="s">
        <v>1961</v>
      </c>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E510" s="9"/>
      <c r="BF510" s="9"/>
      <c r="BG510" s="9"/>
      <c r="BH510" s="9"/>
      <c r="BI510" s="9"/>
      <c r="BJ510" s="9"/>
      <c r="BK510" s="9"/>
      <c r="BL510" s="9"/>
      <c r="BM510" s="9"/>
      <c r="BN510" s="9"/>
      <c r="BO510" s="9"/>
      <c r="BP510" s="9"/>
      <c r="BQ510" s="9"/>
      <c r="BR510" s="9"/>
      <c r="BS510" s="9"/>
      <c r="BT510" s="9"/>
      <c r="BU510" s="9"/>
      <c r="BV510" s="9"/>
      <c r="BW510" s="9"/>
      <c r="BX510" s="9"/>
      <c r="BY510" s="9"/>
      <c r="BZ510" s="9"/>
      <c r="CA510" s="9"/>
      <c r="CB510" s="9"/>
      <c r="CC510" s="9"/>
      <c r="CD510" s="9"/>
      <c r="CE510" s="9"/>
      <c r="CF510" s="9"/>
      <c r="CG510" s="9"/>
      <c r="CH510" s="9"/>
      <c r="CI510" s="9"/>
      <c r="CJ510" s="9"/>
      <c r="CK510" s="9"/>
      <c r="CL510" s="9"/>
      <c r="CM510" s="9"/>
      <c r="CN510" s="9"/>
      <c r="CO510" s="9"/>
      <c r="CP510" s="9"/>
      <c r="CQ510" s="9"/>
      <c r="CR510" s="9"/>
      <c r="CS510" s="9"/>
      <c r="CT510" s="9"/>
      <c r="CU510" s="9"/>
      <c r="CV510" s="9"/>
      <c r="CW510" s="9"/>
      <c r="CX510" s="9"/>
      <c r="CY510" s="9"/>
      <c r="CZ510" s="9"/>
      <c r="DA510" s="9"/>
      <c r="DB510" s="9"/>
      <c r="DC510" s="9"/>
      <c r="DD510" s="9"/>
      <c r="DE510" s="9"/>
      <c r="DF510" s="9"/>
      <c r="DG510" s="9"/>
      <c r="DH510" s="9"/>
      <c r="DI510" s="9"/>
      <c r="DJ510" s="9"/>
      <c r="DK510" s="9"/>
      <c r="DL510" s="9"/>
      <c r="DM510" s="9"/>
      <c r="DN510" s="9"/>
      <c r="DO510" s="9"/>
      <c r="DP510" s="9"/>
      <c r="DQ510" s="9"/>
      <c r="DR510" s="9"/>
      <c r="DS510" s="9"/>
      <c r="DT510" s="9"/>
      <c r="DU510" s="9"/>
      <c r="DV510" s="9"/>
      <c r="DW510" s="9"/>
      <c r="DX510" s="9"/>
      <c r="DY510" s="9"/>
      <c r="DZ510" s="9"/>
      <c r="EA510" s="9"/>
      <c r="EB510" s="9"/>
      <c r="EC510" s="9"/>
      <c r="ED510" s="9"/>
      <c r="EE510" s="9"/>
      <c r="EF510" s="9"/>
      <c r="EG510" s="9"/>
      <c r="EH510" s="9"/>
      <c r="EI510" s="9"/>
      <c r="EJ510" s="9"/>
      <c r="EK510" s="9"/>
      <c r="EL510" s="9"/>
      <c r="EM510" s="9"/>
      <c r="EN510" s="9"/>
      <c r="EO510" s="9"/>
      <c r="EP510" s="9"/>
      <c r="EQ510" s="9"/>
      <c r="ER510" s="9"/>
      <c r="ES510" s="9"/>
      <c r="ET510" s="9"/>
      <c r="EU510" s="9"/>
      <c r="EV510" s="9"/>
      <c r="EW510" s="9"/>
      <c r="EX510" s="9"/>
      <c r="EY510" s="9"/>
      <c r="EZ510" s="9"/>
      <c r="FA510" s="9"/>
      <c r="FB510" s="9"/>
      <c r="FC510" s="9"/>
      <c r="FD510" s="9"/>
      <c r="FE510" s="9"/>
      <c r="FF510" s="9"/>
      <c r="FG510" s="9"/>
      <c r="FH510" s="9"/>
      <c r="FI510" s="9"/>
      <c r="FJ510" s="9"/>
      <c r="FK510" s="9"/>
      <c r="FL510" s="9"/>
      <c r="FM510" s="9"/>
      <c r="FN510" s="9"/>
      <c r="FO510" s="9"/>
      <c r="FP510" s="9"/>
      <c r="FQ510" s="9"/>
      <c r="FR510" s="9"/>
      <c r="FS510" s="9"/>
      <c r="FT510" s="9"/>
      <c r="FU510" s="9"/>
      <c r="FV510" s="9"/>
      <c r="FW510" s="9"/>
      <c r="FX510" s="9"/>
      <c r="FY510" s="9"/>
      <c r="FZ510" s="9"/>
      <c r="GA510" s="9"/>
      <c r="GB510" s="9"/>
      <c r="GC510" s="9"/>
      <c r="GD510" s="9"/>
      <c r="GE510" s="9"/>
      <c r="GF510" s="9"/>
      <c r="GG510" s="9"/>
      <c r="GH510" s="9"/>
      <c r="GI510" s="9"/>
      <c r="GJ510" s="9"/>
      <c r="GK510" s="9"/>
      <c r="GL510" s="9"/>
      <c r="GM510" s="9"/>
      <c r="GN510" s="9"/>
      <c r="GO510" s="9"/>
      <c r="GP510" s="9"/>
      <c r="GQ510" s="9"/>
      <c r="GR510" s="9"/>
      <c r="GS510" s="9"/>
      <c r="GT510" s="9"/>
      <c r="GU510" s="9"/>
      <c r="GV510" s="9"/>
      <c r="GW510" s="9"/>
      <c r="GX510" s="9"/>
      <c r="GY510" s="9"/>
      <c r="GZ510" s="9"/>
      <c r="HA510" s="9"/>
      <c r="HB510" s="9"/>
      <c r="HC510" s="9"/>
      <c r="HD510" s="9"/>
      <c r="HE510" s="9"/>
      <c r="HF510" s="9"/>
      <c r="HG510" s="9"/>
      <c r="HH510" s="9"/>
      <c r="HI510" s="9"/>
      <c r="HJ510" s="9"/>
      <c r="HK510" s="9"/>
      <c r="HL510" s="9"/>
      <c r="HM510" s="9"/>
      <c r="HN510" s="9"/>
      <c r="HO510" s="9"/>
      <c r="HP510" s="9"/>
      <c r="HQ510" s="9"/>
      <c r="HR510" s="9"/>
      <c r="HS510" s="9"/>
      <c r="HT510" s="9"/>
      <c r="HU510" s="9"/>
      <c r="HV510" s="9"/>
      <c r="HW510" s="9"/>
      <c r="HX510" s="9"/>
      <c r="HY510" s="9"/>
      <c r="HZ510" s="9"/>
      <c r="IA510" s="9"/>
      <c r="IB510" s="9"/>
      <c r="IC510" s="9"/>
      <c r="ID510" s="9"/>
      <c r="IE510" s="9"/>
      <c r="IF510" s="9"/>
      <c r="IG510" s="9"/>
      <c r="IH510" s="9"/>
      <c r="II510" s="9"/>
      <c r="IJ510" s="9"/>
      <c r="IK510" s="9"/>
      <c r="IL510" s="9"/>
      <c r="IM510" s="9"/>
      <c r="IN510" s="9"/>
      <c r="IO510" s="9"/>
      <c r="IP510" s="9"/>
      <c r="IQ510" s="9"/>
      <c r="IR510" s="9"/>
      <c r="IS510" s="9"/>
      <c r="IT510" s="9"/>
      <c r="IU510" s="9"/>
      <c r="IV510" s="9"/>
    </row>
    <row r="511" spans="1:256">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c r="BY511" s="9"/>
      <c r="BZ511" s="9"/>
      <c r="CA511" s="9"/>
      <c r="CB511" s="9"/>
      <c r="CC511" s="9"/>
      <c r="CD511" s="9"/>
      <c r="CE511" s="9"/>
      <c r="CF511" s="9"/>
      <c r="CG511" s="9"/>
      <c r="CH511" s="9"/>
      <c r="CI511" s="9"/>
      <c r="CJ511" s="9"/>
      <c r="CK511" s="9"/>
      <c r="CL511" s="9"/>
      <c r="CM511" s="9"/>
      <c r="CN511" s="9"/>
      <c r="CO511" s="9"/>
      <c r="CP511" s="9"/>
      <c r="CQ511" s="9"/>
      <c r="CR511" s="9"/>
      <c r="CS511" s="9"/>
      <c r="CT511" s="9"/>
      <c r="CU511" s="9"/>
      <c r="CV511" s="9"/>
      <c r="CW511" s="9"/>
      <c r="CX511" s="9"/>
      <c r="CY511" s="9"/>
      <c r="CZ511" s="9"/>
      <c r="DA511" s="9"/>
      <c r="DB511" s="9"/>
      <c r="DC511" s="9"/>
      <c r="DD511" s="9"/>
      <c r="DE511" s="9"/>
      <c r="DF511" s="9"/>
      <c r="DG511" s="9"/>
      <c r="DH511" s="9"/>
      <c r="DI511" s="9"/>
      <c r="DJ511" s="9"/>
      <c r="DK511" s="9"/>
      <c r="DL511" s="9"/>
      <c r="DM511" s="9"/>
      <c r="DN511" s="9"/>
      <c r="DO511" s="9"/>
      <c r="DP511" s="9"/>
      <c r="DQ511" s="9"/>
      <c r="DR511" s="9"/>
      <c r="DS511" s="9"/>
      <c r="DT511" s="9"/>
      <c r="DU511" s="9"/>
      <c r="DV511" s="9"/>
      <c r="DW511" s="9"/>
      <c r="DX511" s="9"/>
      <c r="DY511" s="9"/>
      <c r="DZ511" s="9"/>
      <c r="EA511" s="9"/>
      <c r="EB511" s="9"/>
      <c r="EC511" s="9"/>
      <c r="ED511" s="9"/>
      <c r="EE511" s="9"/>
      <c r="EF511" s="9"/>
      <c r="EG511" s="9"/>
      <c r="EH511" s="9"/>
      <c r="EI511" s="9"/>
      <c r="EJ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c r="FW511" s="9"/>
      <c r="FX511" s="9"/>
      <c r="FY511" s="9"/>
      <c r="FZ511" s="9"/>
      <c r="GA511" s="9"/>
      <c r="GB511" s="9"/>
      <c r="GC511" s="9"/>
      <c r="GD511" s="9"/>
      <c r="GE511" s="9"/>
      <c r="GF511" s="9"/>
      <c r="GG511" s="9"/>
      <c r="GH511" s="9"/>
      <c r="GI511" s="9"/>
      <c r="GJ511" s="9"/>
      <c r="GK511" s="9"/>
      <c r="GL511" s="9"/>
      <c r="GM511" s="9"/>
      <c r="GN511" s="9"/>
      <c r="GO511" s="9"/>
      <c r="GP511" s="9"/>
      <c r="GQ511" s="9"/>
      <c r="GR511" s="9"/>
      <c r="GS511" s="9"/>
      <c r="GT511" s="9"/>
      <c r="GU511" s="9"/>
      <c r="GV511" s="9"/>
      <c r="GW511" s="9"/>
      <c r="GX511" s="9"/>
      <c r="GY511" s="9"/>
      <c r="GZ511" s="9"/>
      <c r="HA511" s="9"/>
      <c r="HB511" s="9"/>
      <c r="HC511" s="9"/>
      <c r="HD511" s="9"/>
      <c r="HE511" s="9"/>
      <c r="HF511" s="9"/>
      <c r="HG511" s="9"/>
      <c r="HH511" s="9"/>
      <c r="HI511" s="9"/>
      <c r="HJ511" s="9"/>
      <c r="HK511" s="9"/>
      <c r="HL511" s="9"/>
      <c r="HM511" s="9"/>
      <c r="HN511" s="9"/>
      <c r="HO511" s="9"/>
      <c r="HP511" s="9"/>
      <c r="HQ511" s="9"/>
      <c r="HR511" s="9"/>
      <c r="HS511" s="9"/>
      <c r="HT511" s="9"/>
      <c r="HU511" s="9"/>
      <c r="HV511" s="9"/>
      <c r="HW511" s="9"/>
      <c r="HX511" s="9"/>
      <c r="HY511" s="9"/>
      <c r="HZ511" s="9"/>
      <c r="IA511" s="9"/>
      <c r="IB511" s="9"/>
      <c r="IC511" s="9"/>
      <c r="ID511" s="9"/>
      <c r="IE511" s="9"/>
      <c r="IF511" s="9"/>
      <c r="IG511" s="9"/>
      <c r="IH511" s="9"/>
      <c r="II511" s="9"/>
      <c r="IJ511" s="9"/>
      <c r="IK511" s="9"/>
      <c r="IL511" s="9"/>
      <c r="IM511" s="9"/>
      <c r="IN511" s="9"/>
      <c r="IO511" s="9"/>
      <c r="IP511" s="9"/>
      <c r="IQ511" s="9"/>
      <c r="IR511" s="9"/>
      <c r="IS511" s="9"/>
      <c r="IT511" s="9"/>
      <c r="IU511" s="9"/>
      <c r="IV511" s="9"/>
    </row>
    <row r="512" spans="1:256">
      <c r="A512" s="9" t="s">
        <v>823</v>
      </c>
      <c r="B512" s="9" t="s">
        <v>1671</v>
      </c>
      <c r="C512" s="9"/>
      <c r="D512" s="10"/>
      <c r="E512" s="9"/>
      <c r="F512" s="10"/>
      <c r="G512" s="9"/>
      <c r="H512" s="10"/>
      <c r="I512" s="9"/>
      <c r="J512" s="10"/>
      <c r="K512" s="9"/>
      <c r="L512" s="10"/>
      <c r="M512" s="9"/>
      <c r="N512" s="10"/>
      <c r="O512" s="9"/>
      <c r="P512" s="10"/>
      <c r="Q512" s="9"/>
      <c r="R512" s="10"/>
      <c r="S512" s="9"/>
      <c r="T512" s="10"/>
      <c r="U512" s="9"/>
      <c r="V512" s="10"/>
      <c r="W512" s="9"/>
      <c r="X512" s="10"/>
      <c r="Y512" s="9"/>
      <c r="Z512" s="10"/>
      <c r="AA512" s="9"/>
      <c r="AB512" s="10"/>
      <c r="AC512" s="9"/>
      <c r="AD512" s="10"/>
      <c r="AE512" s="9"/>
      <c r="AF512" s="10"/>
      <c r="AG512" s="9"/>
      <c r="AH512" s="10"/>
      <c r="AI512" s="9"/>
      <c r="AJ512" s="10"/>
      <c r="AK512" s="9"/>
      <c r="AL512" s="10"/>
      <c r="AM512" s="9"/>
      <c r="AN512" s="10"/>
      <c r="AO512" s="9"/>
      <c r="AP512" s="10"/>
      <c r="AQ512" s="9"/>
      <c r="AR512" s="10"/>
      <c r="AS512" s="9"/>
      <c r="AT512" s="10"/>
      <c r="AU512" s="9"/>
      <c r="AV512" s="10"/>
      <c r="AW512" s="9"/>
      <c r="AX512" s="10"/>
      <c r="AY512" s="9"/>
      <c r="AZ512" s="10"/>
      <c r="BA512" s="9"/>
      <c r="BB512" s="10"/>
      <c r="BC512" s="9"/>
      <c r="BD512" s="10"/>
      <c r="BE512" s="9"/>
      <c r="BF512" s="10"/>
      <c r="BG512" s="9"/>
      <c r="BH512" s="10"/>
      <c r="BI512" s="9"/>
      <c r="BJ512" s="10"/>
      <c r="BK512" s="9"/>
      <c r="BL512" s="10"/>
      <c r="BM512" s="9"/>
      <c r="BN512" s="10"/>
      <c r="BO512" s="9"/>
      <c r="BP512" s="10"/>
      <c r="BQ512" s="9"/>
      <c r="BR512" s="10"/>
      <c r="BS512" s="9"/>
      <c r="BT512" s="10"/>
      <c r="BU512" s="9"/>
      <c r="BV512" s="10"/>
      <c r="BW512" s="9"/>
      <c r="BX512" s="10"/>
      <c r="BY512" s="9"/>
      <c r="BZ512" s="10"/>
      <c r="CA512" s="9"/>
      <c r="CB512" s="10"/>
      <c r="CC512" s="9"/>
      <c r="CD512" s="10"/>
      <c r="CE512" s="9"/>
      <c r="CF512" s="10"/>
      <c r="CG512" s="9"/>
      <c r="CH512" s="10"/>
      <c r="CI512" s="9"/>
      <c r="CJ512" s="10"/>
      <c r="CK512" s="9"/>
      <c r="CL512" s="10"/>
      <c r="CM512" s="9"/>
      <c r="CN512" s="10"/>
      <c r="CO512" s="9"/>
      <c r="CP512" s="10"/>
      <c r="CQ512" s="9"/>
      <c r="CR512" s="10"/>
      <c r="CS512" s="9"/>
      <c r="CT512" s="10"/>
      <c r="CU512" s="9"/>
      <c r="CV512" s="10"/>
      <c r="CW512" s="9"/>
      <c r="CX512" s="10"/>
      <c r="CY512" s="9"/>
      <c r="CZ512" s="10"/>
      <c r="DA512" s="9"/>
      <c r="DB512" s="10"/>
      <c r="DC512" s="9"/>
      <c r="DD512" s="10"/>
      <c r="DE512" s="9"/>
      <c r="DF512" s="10"/>
      <c r="DG512" s="9"/>
      <c r="DH512" s="10"/>
      <c r="DI512" s="9"/>
      <c r="DJ512" s="10"/>
      <c r="DK512" s="9"/>
      <c r="DL512" s="10"/>
      <c r="DM512" s="9"/>
      <c r="DN512" s="10"/>
      <c r="DO512" s="9"/>
      <c r="DP512" s="10"/>
      <c r="DQ512" s="9"/>
      <c r="DR512" s="10"/>
      <c r="DS512" s="9"/>
      <c r="DT512" s="10"/>
      <c r="DU512" s="9"/>
      <c r="DV512" s="10"/>
      <c r="DW512" s="9"/>
      <c r="DX512" s="10"/>
      <c r="DY512" s="9"/>
      <c r="DZ512" s="10"/>
      <c r="EA512" s="9"/>
      <c r="EB512" s="10"/>
      <c r="EC512" s="9"/>
      <c r="ED512" s="10"/>
      <c r="EE512" s="9"/>
      <c r="EF512" s="10"/>
      <c r="EG512" s="9"/>
      <c r="EH512" s="10"/>
      <c r="EI512" s="9"/>
      <c r="EJ512" s="10"/>
      <c r="EK512" s="9"/>
      <c r="EL512" s="10"/>
      <c r="EM512" s="9"/>
      <c r="EN512" s="10"/>
      <c r="EO512" s="9"/>
      <c r="EP512" s="10"/>
      <c r="EQ512" s="9"/>
      <c r="ER512" s="10"/>
      <c r="ES512" s="9"/>
      <c r="ET512" s="10"/>
      <c r="EU512" s="9"/>
      <c r="EV512" s="10"/>
      <c r="EW512" s="9"/>
      <c r="EX512" s="10"/>
      <c r="EY512" s="9"/>
      <c r="EZ512" s="10"/>
      <c r="FA512" s="9"/>
      <c r="FB512" s="10"/>
      <c r="FC512" s="9"/>
      <c r="FD512" s="10"/>
      <c r="FE512" s="9"/>
      <c r="FF512" s="10"/>
      <c r="FG512" s="9"/>
      <c r="FH512" s="10"/>
      <c r="FI512" s="9"/>
      <c r="FJ512" s="10"/>
      <c r="FK512" s="9"/>
      <c r="FL512" s="10"/>
      <c r="FM512" s="9"/>
      <c r="FN512" s="10"/>
      <c r="FO512" s="9"/>
      <c r="FP512" s="10"/>
      <c r="FQ512" s="9"/>
      <c r="FR512" s="10"/>
      <c r="FS512" s="9"/>
      <c r="FT512" s="10"/>
      <c r="FU512" s="9"/>
      <c r="FV512" s="10"/>
      <c r="FW512" s="9"/>
      <c r="FX512" s="10"/>
      <c r="FY512" s="9"/>
      <c r="FZ512" s="10"/>
      <c r="GA512" s="9"/>
      <c r="GB512" s="10"/>
      <c r="GC512" s="9"/>
      <c r="GD512" s="10"/>
      <c r="GE512" s="9"/>
      <c r="GF512" s="10"/>
      <c r="GG512" s="9"/>
      <c r="GH512" s="10"/>
      <c r="GI512" s="9"/>
      <c r="GJ512" s="10"/>
      <c r="GK512" s="9"/>
      <c r="GL512" s="10"/>
      <c r="GM512" s="9"/>
      <c r="GN512" s="10"/>
      <c r="GO512" s="9"/>
      <c r="GP512" s="10"/>
      <c r="GQ512" s="9"/>
      <c r="GR512" s="10"/>
      <c r="GS512" s="9"/>
      <c r="GT512" s="10"/>
      <c r="GU512" s="9"/>
      <c r="GV512" s="10"/>
      <c r="GW512" s="9"/>
      <c r="GX512" s="10"/>
      <c r="GY512" s="9"/>
      <c r="GZ512" s="10"/>
      <c r="HA512" s="9"/>
      <c r="HB512" s="10"/>
      <c r="HC512" s="9"/>
      <c r="HD512" s="10"/>
      <c r="HE512" s="9"/>
      <c r="HF512" s="10"/>
      <c r="HG512" s="9"/>
      <c r="HH512" s="10"/>
      <c r="HI512" s="9"/>
      <c r="HJ512" s="10"/>
      <c r="HK512" s="9"/>
      <c r="HL512" s="10"/>
      <c r="HM512" s="9"/>
      <c r="HN512" s="10"/>
      <c r="HO512" s="9"/>
      <c r="HP512" s="10"/>
      <c r="HQ512" s="9"/>
      <c r="HR512" s="10"/>
      <c r="HS512" s="9"/>
      <c r="HT512" s="10"/>
      <c r="HU512" s="9"/>
      <c r="HV512" s="10"/>
      <c r="HW512" s="9"/>
      <c r="HX512" s="10"/>
      <c r="HY512" s="9"/>
      <c r="HZ512" s="10"/>
      <c r="IA512" s="9"/>
      <c r="IB512" s="10"/>
      <c r="IC512" s="9"/>
      <c r="ID512" s="10"/>
      <c r="IE512" s="9"/>
      <c r="IF512" s="10"/>
      <c r="IG512" s="9"/>
      <c r="IH512" s="10"/>
      <c r="II512" s="9"/>
      <c r="IJ512" s="10"/>
      <c r="IK512" s="9"/>
      <c r="IL512" s="10"/>
      <c r="IM512" s="9"/>
      <c r="IN512" s="10"/>
      <c r="IO512" s="9"/>
      <c r="IP512" s="10"/>
      <c r="IQ512" s="9"/>
      <c r="IR512" s="10"/>
      <c r="IS512" s="9"/>
      <c r="IT512" s="10"/>
      <c r="IU512" s="9"/>
      <c r="IV512" s="10"/>
    </row>
    <row r="513" spans="1:256">
      <c r="A513" s="9" t="s">
        <v>2246</v>
      </c>
      <c r="B513" s="9" t="s">
        <v>1672</v>
      </c>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E513" s="9"/>
      <c r="BF513" s="9"/>
      <c r="BG513" s="9"/>
      <c r="BH513" s="9"/>
      <c r="BI513" s="9"/>
      <c r="BJ513" s="9"/>
      <c r="BK513" s="9"/>
      <c r="BL513" s="9"/>
      <c r="BM513" s="9"/>
      <c r="BN513" s="9"/>
      <c r="BO513" s="9"/>
      <c r="BP513" s="9"/>
      <c r="BQ513" s="9"/>
      <c r="BR513" s="9"/>
      <c r="BS513" s="9"/>
      <c r="BT513" s="9"/>
      <c r="BU513" s="9"/>
      <c r="BV513" s="9"/>
      <c r="BW513" s="9"/>
      <c r="BX513" s="9"/>
      <c r="BY513" s="9"/>
      <c r="BZ513" s="9"/>
      <c r="CA513" s="9"/>
      <c r="CB513" s="9"/>
      <c r="CC513" s="9"/>
      <c r="CD513" s="9"/>
      <c r="CE513" s="9"/>
      <c r="CF513" s="9"/>
      <c r="CG513" s="9"/>
      <c r="CH513" s="9"/>
      <c r="CI513" s="9"/>
      <c r="CJ513" s="9"/>
      <c r="CK513" s="9"/>
      <c r="CL513" s="9"/>
      <c r="CM513" s="9"/>
      <c r="CN513" s="9"/>
      <c r="CO513" s="9"/>
      <c r="CP513" s="9"/>
      <c r="CQ513" s="9"/>
      <c r="CR513" s="9"/>
      <c r="CS513" s="9"/>
      <c r="CT513" s="9"/>
      <c r="CU513" s="9"/>
      <c r="CV513" s="9"/>
      <c r="CW513" s="9"/>
      <c r="CX513" s="9"/>
      <c r="CY513" s="9"/>
      <c r="CZ513" s="9"/>
      <c r="DA513" s="9"/>
      <c r="DB513" s="9"/>
      <c r="DC513" s="9"/>
      <c r="DD513" s="9"/>
      <c r="DE513" s="9"/>
      <c r="DF513" s="9"/>
      <c r="DG513" s="9"/>
      <c r="DH513" s="9"/>
      <c r="DI513" s="9"/>
      <c r="DJ513" s="9"/>
      <c r="DK513" s="9"/>
      <c r="DL513" s="9"/>
      <c r="DM513" s="9"/>
      <c r="DN513" s="9"/>
      <c r="DO513" s="9"/>
      <c r="DP513" s="9"/>
      <c r="DQ513" s="9"/>
      <c r="DR513" s="9"/>
      <c r="DS513" s="9"/>
      <c r="DT513" s="9"/>
      <c r="DU513" s="9"/>
      <c r="DV513" s="9"/>
      <c r="DW513" s="9"/>
      <c r="DX513" s="9"/>
      <c r="DY513" s="9"/>
      <c r="DZ513" s="9"/>
      <c r="EA513" s="9"/>
      <c r="EB513" s="9"/>
      <c r="EC513" s="9"/>
      <c r="ED513" s="9"/>
      <c r="EE513" s="9"/>
      <c r="EF513" s="9"/>
      <c r="EG513" s="9"/>
      <c r="EH513" s="9"/>
      <c r="EI513" s="9"/>
      <c r="EJ513" s="9"/>
      <c r="EK513" s="9"/>
      <c r="EL513" s="9"/>
      <c r="EM513" s="9"/>
      <c r="EN513" s="9"/>
      <c r="EO513" s="9"/>
      <c r="EP513" s="9"/>
      <c r="EQ513" s="9"/>
      <c r="ER513" s="9"/>
      <c r="ES513" s="9"/>
      <c r="ET513" s="9"/>
      <c r="EU513" s="9"/>
      <c r="EV513" s="9"/>
      <c r="EW513" s="9"/>
      <c r="EX513" s="9"/>
      <c r="EY513" s="9"/>
      <c r="EZ513" s="9"/>
      <c r="FA513" s="9"/>
      <c r="FB513" s="9"/>
      <c r="FC513" s="9"/>
      <c r="FD513" s="9"/>
      <c r="FE513" s="9"/>
      <c r="FF513" s="9"/>
      <c r="FG513" s="9"/>
      <c r="FH513" s="9"/>
      <c r="FI513" s="9"/>
      <c r="FJ513" s="9"/>
      <c r="FK513" s="9"/>
      <c r="FL513" s="9"/>
      <c r="FM513" s="9"/>
      <c r="FN513" s="9"/>
      <c r="FO513" s="9"/>
      <c r="FP513" s="9"/>
      <c r="FQ513" s="9"/>
      <c r="FR513" s="9"/>
      <c r="FS513" s="9"/>
      <c r="FT513" s="9"/>
      <c r="FU513" s="9"/>
      <c r="FV513" s="9"/>
      <c r="FW513" s="9"/>
      <c r="FX513" s="9"/>
      <c r="FY513" s="9"/>
      <c r="FZ513" s="9"/>
      <c r="GA513" s="9"/>
      <c r="GB513" s="9"/>
      <c r="GC513" s="9"/>
      <c r="GD513" s="9"/>
      <c r="GE513" s="9"/>
      <c r="GF513" s="9"/>
      <c r="GG513" s="9"/>
      <c r="GH513" s="9"/>
      <c r="GI513" s="9"/>
      <c r="GJ513" s="9"/>
      <c r="GK513" s="9"/>
      <c r="GL513" s="9"/>
      <c r="GM513" s="9"/>
      <c r="GN513" s="9"/>
      <c r="GO513" s="9"/>
      <c r="GP513" s="9"/>
      <c r="GQ513" s="9"/>
      <c r="GR513" s="9"/>
      <c r="GS513" s="9"/>
      <c r="GT513" s="9"/>
      <c r="GU513" s="9"/>
      <c r="GV513" s="9"/>
      <c r="GW513" s="9"/>
      <c r="GX513" s="9"/>
      <c r="GY513" s="9"/>
      <c r="GZ513" s="9"/>
      <c r="HA513" s="9"/>
      <c r="HB513" s="9"/>
      <c r="HC513" s="9"/>
      <c r="HD513" s="9"/>
      <c r="HE513" s="9"/>
      <c r="HF513" s="9"/>
      <c r="HG513" s="9"/>
      <c r="HH513" s="9"/>
      <c r="HI513" s="9"/>
      <c r="HJ513" s="9"/>
      <c r="HK513" s="9"/>
      <c r="HL513" s="9"/>
      <c r="HM513" s="9"/>
      <c r="HN513" s="9"/>
      <c r="HO513" s="9"/>
      <c r="HP513" s="9"/>
      <c r="HQ513" s="9"/>
      <c r="HR513" s="9"/>
      <c r="HS513" s="9"/>
      <c r="HT513" s="9"/>
      <c r="HU513" s="9"/>
      <c r="HV513" s="9"/>
      <c r="HW513" s="9"/>
      <c r="HX513" s="9"/>
      <c r="HY513" s="9"/>
      <c r="HZ513" s="9"/>
      <c r="IA513" s="9"/>
      <c r="IB513" s="9"/>
      <c r="IC513" s="9"/>
      <c r="ID513" s="9"/>
      <c r="IE513" s="9"/>
      <c r="IF513" s="9"/>
      <c r="IG513" s="9"/>
      <c r="IH513" s="9"/>
      <c r="II513" s="9"/>
      <c r="IJ513" s="9"/>
      <c r="IK513" s="9"/>
      <c r="IL513" s="9"/>
      <c r="IM513" s="9"/>
      <c r="IN513" s="9"/>
      <c r="IO513" s="9"/>
      <c r="IP513" s="9"/>
      <c r="IQ513" s="9"/>
      <c r="IR513" s="9"/>
      <c r="IS513" s="9"/>
      <c r="IT513" s="9"/>
      <c r="IU513" s="9"/>
      <c r="IV513" s="9"/>
    </row>
    <row r="514" spans="1:256">
      <c r="B514" s="9" t="s">
        <v>1241</v>
      </c>
      <c r="C514" s="9"/>
      <c r="D514" s="10"/>
      <c r="E514" s="9"/>
      <c r="F514" s="10"/>
      <c r="G514" s="9"/>
      <c r="H514" s="10"/>
      <c r="I514" s="9"/>
      <c r="J514" s="10"/>
      <c r="K514" s="9"/>
      <c r="L514" s="10"/>
      <c r="M514" s="9"/>
      <c r="N514" s="10"/>
      <c r="O514" s="9"/>
      <c r="P514" s="10"/>
      <c r="Q514" s="9"/>
      <c r="R514" s="10"/>
      <c r="S514" s="9"/>
      <c r="T514" s="10"/>
      <c r="U514" s="9"/>
      <c r="V514" s="10"/>
      <c r="W514" s="9"/>
      <c r="X514" s="10"/>
      <c r="Y514" s="9"/>
      <c r="Z514" s="10"/>
      <c r="AA514" s="9"/>
      <c r="AB514" s="10"/>
      <c r="AC514" s="9"/>
      <c r="AD514" s="10"/>
      <c r="AE514" s="9"/>
      <c r="AF514" s="10"/>
      <c r="AG514" s="9"/>
      <c r="AH514" s="10"/>
      <c r="AI514" s="9"/>
      <c r="AJ514" s="10"/>
      <c r="AK514" s="9"/>
      <c r="AL514" s="10"/>
      <c r="AM514" s="9"/>
      <c r="AN514" s="10"/>
      <c r="AO514" s="9"/>
      <c r="AP514" s="10"/>
      <c r="AQ514" s="9"/>
      <c r="AR514" s="10"/>
      <c r="AS514" s="9"/>
      <c r="AT514" s="10"/>
      <c r="AU514" s="9"/>
      <c r="AV514" s="10"/>
      <c r="AW514" s="9"/>
      <c r="AX514" s="10"/>
      <c r="AY514" s="9"/>
      <c r="AZ514" s="10"/>
      <c r="BA514" s="9"/>
      <c r="BB514" s="10"/>
      <c r="BC514" s="9"/>
      <c r="BD514" s="10"/>
      <c r="BE514" s="9"/>
      <c r="BF514" s="10"/>
      <c r="BG514" s="9"/>
      <c r="BH514" s="10"/>
      <c r="BI514" s="9"/>
      <c r="BJ514" s="10"/>
      <c r="BK514" s="9"/>
      <c r="BL514" s="10"/>
      <c r="BM514" s="9"/>
      <c r="BN514" s="10"/>
      <c r="BO514" s="9"/>
      <c r="BP514" s="10"/>
      <c r="BQ514" s="9"/>
      <c r="BR514" s="10"/>
      <c r="BS514" s="9"/>
      <c r="BT514" s="10"/>
      <c r="BU514" s="9"/>
      <c r="BV514" s="10"/>
      <c r="BW514" s="9"/>
      <c r="BX514" s="10"/>
      <c r="BY514" s="9"/>
      <c r="BZ514" s="10"/>
      <c r="CA514" s="9"/>
      <c r="CB514" s="10"/>
      <c r="CC514" s="9"/>
      <c r="CD514" s="10"/>
      <c r="CE514" s="9"/>
      <c r="CF514" s="10"/>
      <c r="CG514" s="9"/>
      <c r="CH514" s="10"/>
      <c r="CI514" s="9"/>
      <c r="CJ514" s="10"/>
      <c r="CK514" s="9"/>
      <c r="CL514" s="10"/>
      <c r="CM514" s="9"/>
      <c r="CN514" s="10"/>
      <c r="CO514" s="9"/>
      <c r="CP514" s="10"/>
      <c r="CQ514" s="9"/>
      <c r="CR514" s="10"/>
      <c r="CS514" s="9"/>
      <c r="CT514" s="10"/>
      <c r="CU514" s="9"/>
      <c r="CV514" s="10"/>
      <c r="CW514" s="9"/>
      <c r="CX514" s="10"/>
      <c r="CY514" s="9"/>
      <c r="CZ514" s="10"/>
      <c r="DA514" s="9"/>
      <c r="DB514" s="10"/>
      <c r="DC514" s="9"/>
      <c r="DD514" s="10"/>
      <c r="DE514" s="9"/>
      <c r="DF514" s="10"/>
      <c r="DG514" s="9"/>
      <c r="DH514" s="10"/>
      <c r="DI514" s="9"/>
      <c r="DJ514" s="10"/>
      <c r="DK514" s="9"/>
      <c r="DL514" s="10"/>
      <c r="DM514" s="9"/>
      <c r="DN514" s="10"/>
      <c r="DO514" s="9"/>
      <c r="DP514" s="10"/>
      <c r="DQ514" s="9"/>
      <c r="DR514" s="10"/>
      <c r="DS514" s="9"/>
      <c r="DT514" s="10"/>
      <c r="DU514" s="9"/>
      <c r="DV514" s="10"/>
      <c r="DW514" s="9"/>
      <c r="DX514" s="10"/>
      <c r="DY514" s="9"/>
      <c r="DZ514" s="10"/>
      <c r="EA514" s="9"/>
      <c r="EB514" s="10"/>
      <c r="EC514" s="9"/>
      <c r="ED514" s="10"/>
      <c r="EE514" s="9"/>
      <c r="EF514" s="10"/>
      <c r="EG514" s="9"/>
      <c r="EH514" s="10"/>
      <c r="EI514" s="9"/>
      <c r="EJ514" s="10"/>
      <c r="EK514" s="9"/>
      <c r="EL514" s="10"/>
      <c r="EM514" s="9"/>
      <c r="EN514" s="10"/>
      <c r="EO514" s="9"/>
      <c r="EP514" s="10"/>
      <c r="EQ514" s="9"/>
      <c r="ER514" s="10"/>
      <c r="ES514" s="9"/>
      <c r="ET514" s="10"/>
      <c r="EU514" s="9"/>
      <c r="EV514" s="10"/>
      <c r="EW514" s="9"/>
      <c r="EX514" s="10"/>
      <c r="EY514" s="9"/>
      <c r="EZ514" s="10"/>
      <c r="FA514" s="9"/>
      <c r="FB514" s="10"/>
      <c r="FC514" s="9"/>
      <c r="FD514" s="10"/>
      <c r="FE514" s="9"/>
      <c r="FF514" s="10"/>
      <c r="FG514" s="9"/>
      <c r="FH514" s="10"/>
      <c r="FI514" s="9"/>
      <c r="FJ514" s="10"/>
      <c r="FK514" s="9"/>
      <c r="FL514" s="10"/>
      <c r="FM514" s="9"/>
      <c r="FN514" s="10"/>
      <c r="FO514" s="9"/>
      <c r="FP514" s="10"/>
      <c r="FQ514" s="9"/>
      <c r="FR514" s="10"/>
      <c r="FS514" s="9"/>
      <c r="FT514" s="10"/>
      <c r="FU514" s="9"/>
      <c r="FV514" s="10"/>
      <c r="FW514" s="9"/>
      <c r="FX514" s="10"/>
      <c r="FY514" s="9"/>
      <c r="FZ514" s="10"/>
      <c r="GA514" s="9"/>
      <c r="GB514" s="10"/>
      <c r="GC514" s="9"/>
      <c r="GD514" s="10"/>
      <c r="GE514" s="9"/>
      <c r="GF514" s="10"/>
      <c r="GG514" s="9"/>
      <c r="GH514" s="10"/>
      <c r="GI514" s="9"/>
      <c r="GJ514" s="10"/>
      <c r="GK514" s="9"/>
      <c r="GL514" s="10"/>
      <c r="GM514" s="9"/>
      <c r="GN514" s="10"/>
      <c r="GO514" s="9"/>
      <c r="GP514" s="10"/>
      <c r="GQ514" s="9"/>
      <c r="GR514" s="10"/>
      <c r="GS514" s="9"/>
      <c r="GT514" s="10"/>
      <c r="GU514" s="9"/>
      <c r="GV514" s="10"/>
      <c r="GW514" s="9"/>
      <c r="GX514" s="10"/>
      <c r="GY514" s="9"/>
      <c r="GZ514" s="10"/>
      <c r="HA514" s="9"/>
      <c r="HB514" s="10"/>
      <c r="HC514" s="9"/>
      <c r="HD514" s="10"/>
      <c r="HE514" s="9"/>
      <c r="HF514" s="10"/>
      <c r="HG514" s="9"/>
      <c r="HH514" s="10"/>
      <c r="HI514" s="9"/>
      <c r="HJ514" s="10"/>
      <c r="HK514" s="9"/>
      <c r="HL514" s="10"/>
      <c r="HM514" s="9"/>
      <c r="HN514" s="10"/>
      <c r="HO514" s="9"/>
      <c r="HP514" s="10"/>
      <c r="HQ514" s="9"/>
      <c r="HR514" s="10"/>
      <c r="HS514" s="9"/>
      <c r="HT514" s="10"/>
      <c r="HU514" s="9"/>
      <c r="HV514" s="10"/>
      <c r="HW514" s="9"/>
      <c r="HX514" s="10"/>
      <c r="HY514" s="9"/>
      <c r="HZ514" s="10"/>
      <c r="IA514" s="9"/>
      <c r="IB514" s="10"/>
      <c r="IC514" s="9"/>
      <c r="ID514" s="10"/>
      <c r="IE514" s="9"/>
      <c r="IF514" s="10"/>
      <c r="IG514" s="9"/>
      <c r="IH514" s="10"/>
      <c r="II514" s="9"/>
      <c r="IJ514" s="10"/>
      <c r="IK514" s="9"/>
      <c r="IL514" s="10"/>
      <c r="IM514" s="9"/>
      <c r="IN514" s="10"/>
      <c r="IO514" s="9"/>
      <c r="IP514" s="10"/>
      <c r="IQ514" s="9"/>
      <c r="IR514" s="10"/>
      <c r="IS514" s="9"/>
      <c r="IT514" s="10"/>
      <c r="IU514" s="9"/>
      <c r="IV514" s="10"/>
    </row>
    <row r="515" spans="1:256">
      <c r="B515" s="9" t="s">
        <v>2175</v>
      </c>
      <c r="C515" s="9"/>
      <c r="D515" s="10"/>
      <c r="E515" s="9"/>
      <c r="F515" s="10"/>
      <c r="G515" s="9"/>
      <c r="H515" s="10"/>
      <c r="I515" s="9"/>
      <c r="J515" s="10"/>
      <c r="K515" s="9"/>
      <c r="L515" s="10"/>
      <c r="M515" s="9"/>
      <c r="N515" s="10"/>
      <c r="O515" s="9"/>
      <c r="P515" s="10"/>
      <c r="Q515" s="9"/>
      <c r="R515" s="10"/>
      <c r="S515" s="9"/>
      <c r="T515" s="10"/>
      <c r="U515" s="9"/>
      <c r="V515" s="10"/>
      <c r="W515" s="9"/>
      <c r="X515" s="10"/>
      <c r="Y515" s="9"/>
      <c r="Z515" s="10"/>
      <c r="AA515" s="9"/>
      <c r="AB515" s="10"/>
      <c r="AC515" s="9"/>
      <c r="AD515" s="10"/>
      <c r="AE515" s="9"/>
      <c r="AF515" s="10"/>
      <c r="AG515" s="9"/>
      <c r="AH515" s="10"/>
      <c r="AI515" s="9"/>
      <c r="AJ515" s="10"/>
      <c r="AK515" s="9"/>
      <c r="AL515" s="10"/>
      <c r="AM515" s="9"/>
      <c r="AN515" s="10"/>
      <c r="AO515" s="9"/>
      <c r="AP515" s="10"/>
      <c r="AQ515" s="9"/>
      <c r="AR515" s="10"/>
      <c r="AS515" s="9"/>
      <c r="AT515" s="10"/>
      <c r="AU515" s="9"/>
      <c r="AV515" s="10"/>
      <c r="AW515" s="9"/>
      <c r="AX515" s="10"/>
      <c r="AY515" s="9"/>
      <c r="AZ515" s="10"/>
      <c r="BA515" s="9"/>
      <c r="BB515" s="10"/>
      <c r="BC515" s="9"/>
      <c r="BD515" s="10"/>
      <c r="BE515" s="9"/>
      <c r="BF515" s="10"/>
      <c r="BG515" s="9"/>
      <c r="BH515" s="10"/>
      <c r="BI515" s="9"/>
      <c r="BJ515" s="10"/>
      <c r="BK515" s="9"/>
      <c r="BL515" s="10"/>
      <c r="BM515" s="9"/>
      <c r="BN515" s="10"/>
      <c r="BO515" s="9"/>
      <c r="BP515" s="10"/>
      <c r="BQ515" s="9"/>
      <c r="BR515" s="10"/>
      <c r="BS515" s="9"/>
      <c r="BT515" s="10"/>
      <c r="BU515" s="9"/>
      <c r="BV515" s="10"/>
      <c r="BW515" s="9"/>
      <c r="BX515" s="10"/>
      <c r="BY515" s="9"/>
      <c r="BZ515" s="10"/>
      <c r="CA515" s="9"/>
      <c r="CB515" s="10"/>
      <c r="CC515" s="9"/>
      <c r="CD515" s="10"/>
      <c r="CE515" s="9"/>
      <c r="CF515" s="10"/>
      <c r="CG515" s="9"/>
      <c r="CH515" s="10"/>
      <c r="CI515" s="9"/>
      <c r="CJ515" s="10"/>
      <c r="CK515" s="9"/>
      <c r="CL515" s="10"/>
      <c r="CM515" s="9"/>
      <c r="CN515" s="10"/>
      <c r="CO515" s="9"/>
      <c r="CP515" s="10"/>
      <c r="CQ515" s="9"/>
      <c r="CR515" s="10"/>
      <c r="CS515" s="9"/>
      <c r="CT515" s="10"/>
      <c r="CU515" s="9"/>
      <c r="CV515" s="10"/>
      <c r="CW515" s="9"/>
      <c r="CX515" s="10"/>
      <c r="CY515" s="9"/>
      <c r="CZ515" s="10"/>
      <c r="DA515" s="9"/>
      <c r="DB515" s="10"/>
      <c r="DC515" s="9"/>
      <c r="DD515" s="10"/>
      <c r="DE515" s="9"/>
      <c r="DF515" s="10"/>
      <c r="DG515" s="9"/>
      <c r="DH515" s="10"/>
      <c r="DI515" s="9"/>
      <c r="DJ515" s="10"/>
      <c r="DK515" s="9"/>
      <c r="DL515" s="10"/>
      <c r="DM515" s="9"/>
      <c r="DN515" s="10"/>
      <c r="DO515" s="9"/>
      <c r="DP515" s="10"/>
      <c r="DQ515" s="9"/>
      <c r="DR515" s="10"/>
      <c r="DS515" s="9"/>
      <c r="DT515" s="10"/>
      <c r="DU515" s="9"/>
      <c r="DV515" s="10"/>
      <c r="DW515" s="9"/>
      <c r="DX515" s="10"/>
      <c r="DY515" s="9"/>
      <c r="DZ515" s="10"/>
      <c r="EA515" s="9"/>
      <c r="EB515" s="10"/>
      <c r="EC515" s="9"/>
      <c r="ED515" s="10"/>
      <c r="EE515" s="9"/>
      <c r="EF515" s="10"/>
      <c r="EG515" s="9"/>
      <c r="EH515" s="10"/>
      <c r="EI515" s="9"/>
      <c r="EJ515" s="10"/>
      <c r="EK515" s="9"/>
      <c r="EL515" s="10"/>
      <c r="EM515" s="9"/>
      <c r="EN515" s="10"/>
      <c r="EO515" s="9"/>
      <c r="EP515" s="10"/>
      <c r="EQ515" s="9"/>
      <c r="ER515" s="10"/>
      <c r="ES515" s="9"/>
      <c r="ET515" s="10"/>
      <c r="EU515" s="9"/>
      <c r="EV515" s="10"/>
      <c r="EW515" s="9"/>
      <c r="EX515" s="10"/>
      <c r="EY515" s="9"/>
      <c r="EZ515" s="10"/>
      <c r="FA515" s="9"/>
      <c r="FB515" s="10"/>
      <c r="FC515" s="9"/>
      <c r="FD515" s="10"/>
      <c r="FE515" s="9"/>
      <c r="FF515" s="10"/>
      <c r="FG515" s="9"/>
      <c r="FH515" s="10"/>
      <c r="FI515" s="9"/>
      <c r="FJ515" s="10"/>
      <c r="FK515" s="9"/>
      <c r="FL515" s="10"/>
      <c r="FM515" s="9"/>
      <c r="FN515" s="10"/>
      <c r="FO515" s="9"/>
      <c r="FP515" s="10"/>
      <c r="FQ515" s="9"/>
      <c r="FR515" s="10"/>
      <c r="FS515" s="9"/>
      <c r="FT515" s="10"/>
      <c r="FU515" s="9"/>
      <c r="FV515" s="10"/>
      <c r="FW515" s="9"/>
      <c r="FX515" s="10"/>
      <c r="FY515" s="9"/>
      <c r="FZ515" s="10"/>
      <c r="GA515" s="9"/>
      <c r="GB515" s="10"/>
      <c r="GC515" s="9"/>
      <c r="GD515" s="10"/>
      <c r="GE515" s="9"/>
      <c r="GF515" s="10"/>
      <c r="GG515" s="9"/>
      <c r="GH515" s="10"/>
      <c r="GI515" s="9"/>
      <c r="GJ515" s="10"/>
      <c r="GK515" s="9"/>
      <c r="GL515" s="10"/>
      <c r="GM515" s="9"/>
      <c r="GN515" s="10"/>
      <c r="GO515" s="9"/>
      <c r="GP515" s="10"/>
      <c r="GQ515" s="9"/>
      <c r="GR515" s="10"/>
      <c r="GS515" s="9"/>
      <c r="GT515" s="10"/>
      <c r="GU515" s="9"/>
      <c r="GV515" s="10"/>
      <c r="GW515" s="9"/>
      <c r="GX515" s="10"/>
      <c r="GY515" s="9"/>
      <c r="GZ515" s="10"/>
      <c r="HA515" s="9"/>
      <c r="HB515" s="10"/>
      <c r="HC515" s="9"/>
      <c r="HD515" s="10"/>
      <c r="HE515" s="9"/>
      <c r="HF515" s="10"/>
      <c r="HG515" s="9"/>
      <c r="HH515" s="10"/>
      <c r="HI515" s="9"/>
      <c r="HJ515" s="10"/>
      <c r="HK515" s="9"/>
      <c r="HL515" s="10"/>
      <c r="HM515" s="9"/>
      <c r="HN515" s="10"/>
      <c r="HO515" s="9"/>
      <c r="HP515" s="10"/>
      <c r="HQ515" s="9"/>
      <c r="HR515" s="10"/>
      <c r="HS515" s="9"/>
      <c r="HT515" s="10"/>
      <c r="HU515" s="9"/>
      <c r="HV515" s="10"/>
      <c r="HW515" s="9"/>
      <c r="HX515" s="10"/>
      <c r="HY515" s="9"/>
      <c r="HZ515" s="10"/>
      <c r="IA515" s="9"/>
      <c r="IB515" s="10"/>
      <c r="IC515" s="9"/>
      <c r="ID515" s="10"/>
      <c r="IE515" s="9"/>
      <c r="IF515" s="10"/>
      <c r="IG515" s="9"/>
      <c r="IH515" s="10"/>
      <c r="II515" s="9"/>
      <c r="IJ515" s="10"/>
      <c r="IK515" s="9"/>
      <c r="IL515" s="10"/>
      <c r="IM515" s="9"/>
      <c r="IN515" s="10"/>
      <c r="IO515" s="9"/>
      <c r="IP515" s="10"/>
      <c r="IQ515" s="9"/>
      <c r="IR515" s="10"/>
      <c r="IS515" s="9"/>
      <c r="IT515" s="10"/>
      <c r="IU515" s="9"/>
      <c r="IV515" s="10"/>
    </row>
    <row r="516" spans="1:256">
      <c r="B516" s="10" t="s">
        <v>2176</v>
      </c>
      <c r="C516" s="9"/>
      <c r="D516" s="10"/>
      <c r="E516" s="9"/>
      <c r="F516" s="10"/>
      <c r="G516" s="9"/>
      <c r="H516" s="10"/>
      <c r="I516" s="9"/>
      <c r="J516" s="10"/>
      <c r="K516" s="9"/>
      <c r="L516" s="10"/>
      <c r="M516" s="9"/>
      <c r="N516" s="10"/>
      <c r="O516" s="9"/>
      <c r="P516" s="10"/>
      <c r="Q516" s="9"/>
      <c r="R516" s="10"/>
      <c r="S516" s="9"/>
      <c r="T516" s="10"/>
      <c r="U516" s="9"/>
      <c r="V516" s="10"/>
      <c r="W516" s="9"/>
      <c r="X516" s="10"/>
      <c r="Y516" s="9"/>
      <c r="Z516" s="10"/>
      <c r="AA516" s="9"/>
      <c r="AB516" s="10"/>
      <c r="AC516" s="9"/>
      <c r="AD516" s="10"/>
      <c r="AE516" s="9"/>
      <c r="AF516" s="10"/>
      <c r="AG516" s="9"/>
      <c r="AH516" s="10"/>
      <c r="AI516" s="9"/>
      <c r="AJ516" s="10"/>
      <c r="AK516" s="9"/>
      <c r="AL516" s="10"/>
      <c r="AM516" s="9"/>
      <c r="AN516" s="10"/>
      <c r="AO516" s="9"/>
      <c r="AP516" s="10"/>
      <c r="AQ516" s="9"/>
      <c r="AR516" s="10"/>
      <c r="AS516" s="9"/>
      <c r="AT516" s="10"/>
      <c r="AU516" s="9"/>
      <c r="AV516" s="10"/>
      <c r="AW516" s="9"/>
      <c r="AX516" s="10"/>
      <c r="AY516" s="9"/>
      <c r="AZ516" s="10"/>
      <c r="BA516" s="9"/>
      <c r="BB516" s="10"/>
      <c r="BC516" s="9"/>
      <c r="BD516" s="10"/>
      <c r="BE516" s="9"/>
      <c r="BF516" s="10"/>
      <c r="BG516" s="9"/>
      <c r="BH516" s="10"/>
      <c r="BI516" s="9"/>
      <c r="BJ516" s="10"/>
      <c r="BK516" s="9"/>
      <c r="BL516" s="10"/>
      <c r="BM516" s="9"/>
      <c r="BN516" s="10"/>
      <c r="BO516" s="9"/>
      <c r="BP516" s="10"/>
      <c r="BQ516" s="9"/>
      <c r="BR516" s="10"/>
      <c r="BS516" s="9"/>
      <c r="BT516" s="10"/>
      <c r="BU516" s="9"/>
      <c r="BV516" s="10"/>
      <c r="BW516" s="9"/>
      <c r="BX516" s="10"/>
      <c r="BY516" s="9"/>
      <c r="BZ516" s="10"/>
      <c r="CA516" s="9"/>
      <c r="CB516" s="10"/>
      <c r="CC516" s="9"/>
      <c r="CD516" s="10"/>
      <c r="CE516" s="9"/>
      <c r="CF516" s="10"/>
      <c r="CG516" s="9"/>
      <c r="CH516" s="10"/>
      <c r="CI516" s="9"/>
      <c r="CJ516" s="10"/>
      <c r="CK516" s="9"/>
      <c r="CL516" s="10"/>
      <c r="CM516" s="9"/>
      <c r="CN516" s="10"/>
      <c r="CO516" s="9"/>
      <c r="CP516" s="10"/>
      <c r="CQ516" s="9"/>
      <c r="CR516" s="10"/>
      <c r="CS516" s="9"/>
      <c r="CT516" s="10"/>
      <c r="CU516" s="9"/>
      <c r="CV516" s="10"/>
      <c r="CW516" s="9"/>
      <c r="CX516" s="10"/>
      <c r="CY516" s="9"/>
      <c r="CZ516" s="10"/>
      <c r="DA516" s="9"/>
      <c r="DB516" s="10"/>
      <c r="DC516" s="9"/>
      <c r="DD516" s="10"/>
      <c r="DE516" s="9"/>
      <c r="DF516" s="10"/>
      <c r="DG516" s="9"/>
      <c r="DH516" s="10"/>
      <c r="DI516" s="9"/>
      <c r="DJ516" s="10"/>
      <c r="DK516" s="9"/>
      <c r="DL516" s="10"/>
      <c r="DM516" s="9"/>
      <c r="DN516" s="10"/>
      <c r="DO516" s="9"/>
      <c r="DP516" s="10"/>
      <c r="DQ516" s="9"/>
      <c r="DR516" s="10"/>
      <c r="DS516" s="9"/>
      <c r="DT516" s="10"/>
      <c r="DU516" s="9"/>
      <c r="DV516" s="10"/>
      <c r="DW516" s="9"/>
      <c r="DX516" s="10"/>
      <c r="DY516" s="9"/>
      <c r="DZ516" s="10"/>
      <c r="EA516" s="9"/>
      <c r="EB516" s="10"/>
      <c r="EC516" s="9"/>
      <c r="ED516" s="10"/>
      <c r="EE516" s="9"/>
      <c r="EF516" s="10"/>
      <c r="EG516" s="9"/>
      <c r="EH516" s="10"/>
      <c r="EI516" s="9"/>
      <c r="EJ516" s="10"/>
      <c r="EK516" s="9"/>
      <c r="EL516" s="10"/>
      <c r="EM516" s="9"/>
      <c r="EN516" s="10"/>
      <c r="EO516" s="9"/>
      <c r="EP516" s="10"/>
      <c r="EQ516" s="9"/>
      <c r="ER516" s="10"/>
      <c r="ES516" s="9"/>
      <c r="ET516" s="10"/>
      <c r="EU516" s="9"/>
      <c r="EV516" s="10"/>
      <c r="EW516" s="9"/>
      <c r="EX516" s="10"/>
      <c r="EY516" s="9"/>
      <c r="EZ516" s="10"/>
      <c r="FA516" s="9"/>
      <c r="FB516" s="10"/>
      <c r="FC516" s="9"/>
      <c r="FD516" s="10"/>
      <c r="FE516" s="9"/>
      <c r="FF516" s="10"/>
      <c r="FG516" s="9"/>
      <c r="FH516" s="10"/>
      <c r="FI516" s="9"/>
      <c r="FJ516" s="10"/>
      <c r="FK516" s="9"/>
      <c r="FL516" s="10"/>
      <c r="FM516" s="9"/>
      <c r="FN516" s="10"/>
      <c r="FO516" s="9"/>
      <c r="FP516" s="10"/>
      <c r="FQ516" s="9"/>
      <c r="FR516" s="10"/>
      <c r="FS516" s="9"/>
      <c r="FT516" s="10"/>
      <c r="FU516" s="9"/>
      <c r="FV516" s="10"/>
      <c r="FW516" s="9"/>
      <c r="FX516" s="10"/>
      <c r="FY516" s="9"/>
      <c r="FZ516" s="10"/>
      <c r="GA516" s="9"/>
      <c r="GB516" s="10"/>
      <c r="GC516" s="9"/>
      <c r="GD516" s="10"/>
      <c r="GE516" s="9"/>
      <c r="GF516" s="10"/>
      <c r="GG516" s="9"/>
      <c r="GH516" s="10"/>
      <c r="GI516" s="9"/>
      <c r="GJ516" s="10"/>
      <c r="GK516" s="9"/>
      <c r="GL516" s="10"/>
      <c r="GM516" s="9"/>
      <c r="GN516" s="10"/>
      <c r="GO516" s="9"/>
      <c r="GP516" s="10"/>
      <c r="GQ516" s="9"/>
      <c r="GR516" s="10"/>
      <c r="GS516" s="9"/>
      <c r="GT516" s="10"/>
      <c r="GU516" s="9"/>
      <c r="GV516" s="10"/>
      <c r="GW516" s="9"/>
      <c r="GX516" s="10"/>
      <c r="GY516" s="9"/>
      <c r="GZ516" s="10"/>
      <c r="HA516" s="9"/>
      <c r="HB516" s="10"/>
      <c r="HC516" s="9"/>
      <c r="HD516" s="10"/>
      <c r="HE516" s="9"/>
      <c r="HF516" s="10"/>
      <c r="HG516" s="9"/>
      <c r="HH516" s="10"/>
      <c r="HI516" s="9"/>
      <c r="HJ516" s="10"/>
      <c r="HK516" s="9"/>
      <c r="HL516" s="10"/>
      <c r="HM516" s="9"/>
      <c r="HN516" s="10"/>
      <c r="HO516" s="9"/>
      <c r="HP516" s="10"/>
      <c r="HQ516" s="9"/>
      <c r="HR516" s="10"/>
      <c r="HS516" s="9"/>
      <c r="HT516" s="10"/>
      <c r="HU516" s="9"/>
      <c r="HV516" s="10"/>
      <c r="HW516" s="9"/>
      <c r="HX516" s="10"/>
      <c r="HY516" s="9"/>
      <c r="HZ516" s="10"/>
      <c r="IA516" s="9"/>
      <c r="IB516" s="10"/>
      <c r="IC516" s="9"/>
      <c r="ID516" s="10"/>
      <c r="IE516" s="9"/>
      <c r="IF516" s="10"/>
      <c r="IG516" s="9"/>
      <c r="IH516" s="10"/>
      <c r="II516" s="9"/>
      <c r="IJ516" s="10"/>
      <c r="IK516" s="9"/>
      <c r="IL516" s="10"/>
      <c r="IM516" s="9"/>
      <c r="IN516" s="10"/>
      <c r="IO516" s="9"/>
      <c r="IP516" s="10"/>
      <c r="IQ516" s="9"/>
      <c r="IR516" s="10"/>
      <c r="IS516" s="9"/>
      <c r="IT516" s="10"/>
      <c r="IU516" s="9"/>
      <c r="IV516" s="10"/>
    </row>
    <row r="517" spans="1:256">
      <c r="A517" s="9" t="s">
        <v>2247</v>
      </c>
      <c r="B517" s="9" t="s">
        <v>2177</v>
      </c>
    </row>
    <row r="518" spans="1:256">
      <c r="A518" s="9" t="s">
        <v>2178</v>
      </c>
      <c r="B518" s="10" t="s">
        <v>2179</v>
      </c>
    </row>
    <row r="519" spans="1:256">
      <c r="B519" s="10" t="s">
        <v>2180</v>
      </c>
    </row>
    <row r="520" spans="1:256">
      <c r="B520" s="10"/>
    </row>
    <row r="521" spans="1:256">
      <c r="A521" s="9" t="s">
        <v>1670</v>
      </c>
    </row>
    <row r="522" spans="1:256">
      <c r="A522" s="9" t="s">
        <v>2246</v>
      </c>
      <c r="B522" s="9" t="s">
        <v>1669</v>
      </c>
    </row>
    <row r="523" spans="1:256">
      <c r="B523" s="9" t="s">
        <v>2210</v>
      </c>
      <c r="J523" s="10"/>
    </row>
    <row r="524" spans="1:256">
      <c r="A524" s="9" t="s">
        <v>2247</v>
      </c>
      <c r="B524" s="9" t="s">
        <v>161</v>
      </c>
    </row>
    <row r="526" spans="1:256">
      <c r="A526" s="9" t="s">
        <v>1579</v>
      </c>
      <c r="B526" s="9" t="s">
        <v>1580</v>
      </c>
    </row>
    <row r="527" spans="1:256">
      <c r="A527" s="9" t="s">
        <v>1583</v>
      </c>
      <c r="B527" s="9" t="s">
        <v>1584</v>
      </c>
    </row>
    <row r="528" spans="1:256">
      <c r="B528" s="9" t="s">
        <v>1582</v>
      </c>
    </row>
    <row r="529" spans="1:2">
      <c r="B529" s="9" t="s">
        <v>1426</v>
      </c>
    </row>
    <row r="530" spans="1:2">
      <c r="B530" s="9" t="s">
        <v>1715</v>
      </c>
    </row>
    <row r="531" spans="1:2">
      <c r="B531" s="9" t="s">
        <v>1716</v>
      </c>
    </row>
    <row r="532" spans="1:2">
      <c r="B532" s="9" t="s">
        <v>219</v>
      </c>
    </row>
    <row r="533" spans="1:2">
      <c r="B533" s="9" t="s">
        <v>220</v>
      </c>
    </row>
    <row r="534" spans="1:2">
      <c r="B534" s="9" t="s">
        <v>221</v>
      </c>
    </row>
    <row r="536" spans="1:2">
      <c r="A536" s="9" t="s">
        <v>725</v>
      </c>
    </row>
    <row r="537" spans="1:2">
      <c r="A537" s="9" t="s">
        <v>2246</v>
      </c>
      <c r="B537" s="10" t="s">
        <v>724</v>
      </c>
    </row>
    <row r="538" spans="1:2">
      <c r="B538" s="9" t="s">
        <v>936</v>
      </c>
    </row>
    <row r="539" spans="1:2">
      <c r="A539" s="9" t="s">
        <v>1565</v>
      </c>
      <c r="B539" s="9" t="s">
        <v>543</v>
      </c>
    </row>
    <row r="540" spans="1:2">
      <c r="A540" s="9" t="s">
        <v>2247</v>
      </c>
      <c r="B540" s="285" t="s">
        <v>1437</v>
      </c>
    </row>
    <row r="541" spans="1:2">
      <c r="B541" s="10" t="s">
        <v>282</v>
      </c>
    </row>
    <row r="542" spans="1:2">
      <c r="B542" s="10" t="s">
        <v>278</v>
      </c>
    </row>
    <row r="543" spans="1:2">
      <c r="B543" s="10" t="s">
        <v>1759</v>
      </c>
    </row>
    <row r="544" spans="1:2">
      <c r="B544" s="10" t="s">
        <v>1529</v>
      </c>
    </row>
    <row r="545" spans="1:6">
      <c r="B545" s="10" t="s">
        <v>544</v>
      </c>
    </row>
    <row r="546" spans="1:6">
      <c r="B546" s="48" t="s">
        <v>1429</v>
      </c>
    </row>
    <row r="547" spans="1:6">
      <c r="B547" s="126" t="s">
        <v>1428</v>
      </c>
    </row>
    <row r="548" spans="1:6">
      <c r="B548" s="10" t="s">
        <v>280</v>
      </c>
    </row>
    <row r="549" spans="1:6">
      <c r="B549" s="10" t="s">
        <v>547</v>
      </c>
    </row>
    <row r="550" spans="1:6">
      <c r="B550" s="10" t="s">
        <v>281</v>
      </c>
    </row>
    <row r="551" spans="1:6">
      <c r="B551" s="10" t="s">
        <v>1431</v>
      </c>
    </row>
    <row r="552" spans="1:6">
      <c r="B552" s="10" t="s">
        <v>1430</v>
      </c>
    </row>
    <row r="553" spans="1:6">
      <c r="B553" s="10" t="s">
        <v>1530</v>
      </c>
    </row>
    <row r="554" spans="1:6">
      <c r="A554" s="2"/>
      <c r="B554" s="10" t="s">
        <v>279</v>
      </c>
    </row>
    <row r="555" spans="1:6">
      <c r="A555" s="2"/>
      <c r="B555" s="10" t="s">
        <v>726</v>
      </c>
      <c r="F555" s="286"/>
    </row>
    <row r="556" spans="1:6">
      <c r="A556" s="2"/>
      <c r="B556" s="10" t="s">
        <v>545</v>
      </c>
    </row>
    <row r="557" spans="1:6">
      <c r="A557" s="2"/>
      <c r="B557" s="10" t="s">
        <v>1432</v>
      </c>
    </row>
    <row r="558" spans="1:6">
      <c r="A558" s="2"/>
      <c r="B558" s="10" t="s">
        <v>1301</v>
      </c>
    </row>
    <row r="559" spans="1:6">
      <c r="A559" s="2"/>
      <c r="B559" s="10" t="s">
        <v>1436</v>
      </c>
    </row>
    <row r="560" spans="1:6">
      <c r="A560" s="2"/>
      <c r="B560" s="10" t="s">
        <v>277</v>
      </c>
    </row>
    <row r="561" spans="1:2">
      <c r="A561" s="2"/>
      <c r="B561" s="10" t="s">
        <v>1433</v>
      </c>
    </row>
    <row r="562" spans="1:2">
      <c r="A562" s="2"/>
      <c r="B562" s="10" t="s">
        <v>1434</v>
      </c>
    </row>
    <row r="563" spans="1:2">
      <c r="A563" s="2"/>
      <c r="B563" s="10" t="s">
        <v>1435</v>
      </c>
    </row>
    <row r="564" spans="1:2">
      <c r="A564" s="2"/>
      <c r="B564" s="10" t="s">
        <v>1762</v>
      </c>
    </row>
    <row r="565" spans="1:2">
      <c r="A565" s="2"/>
      <c r="B565" s="10" t="s">
        <v>1527</v>
      </c>
    </row>
    <row r="566" spans="1:2">
      <c r="A566" s="2"/>
      <c r="B566" s="10" t="s">
        <v>1524</v>
      </c>
    </row>
    <row r="567" spans="1:2">
      <c r="A567" s="2"/>
      <c r="B567" s="10" t="s">
        <v>1528</v>
      </c>
    </row>
    <row r="568" spans="1:2">
      <c r="A568" s="2"/>
      <c r="B568" s="10" t="s">
        <v>1525</v>
      </c>
    </row>
    <row r="569" spans="1:2">
      <c r="A569" s="2"/>
      <c r="B569" s="10" t="s">
        <v>1526</v>
      </c>
    </row>
    <row r="570" spans="1:2">
      <c r="A570" s="2"/>
      <c r="B570" s="10" t="s">
        <v>1761</v>
      </c>
    </row>
    <row r="571" spans="1:2">
      <c r="A571" s="2"/>
      <c r="B571" s="10" t="s">
        <v>1420</v>
      </c>
    </row>
    <row r="572" spans="1:2">
      <c r="A572" s="2"/>
      <c r="B572" s="10" t="s">
        <v>1765</v>
      </c>
    </row>
    <row r="573" spans="1:2">
      <c r="A573" s="2"/>
      <c r="B573" s="10" t="s">
        <v>1760</v>
      </c>
    </row>
    <row r="574" spans="1:2">
      <c r="A574" s="2"/>
      <c r="B574" s="10" t="s">
        <v>1766</v>
      </c>
    </row>
    <row r="575" spans="1:2">
      <c r="A575" s="2"/>
      <c r="B575" s="10" t="s">
        <v>1764</v>
      </c>
    </row>
    <row r="576" spans="1:2">
      <c r="A576" s="2"/>
      <c r="B576" s="10" t="s">
        <v>1763</v>
      </c>
    </row>
    <row r="577" spans="1:2">
      <c r="A577" s="2"/>
      <c r="B577" s="10" t="s">
        <v>1767</v>
      </c>
    </row>
    <row r="578" spans="1:2">
      <c r="A578" s="2"/>
      <c r="B578" s="10" t="s">
        <v>546</v>
      </c>
    </row>
    <row r="579" spans="1:2">
      <c r="A579" s="2"/>
      <c r="B579" s="10" t="s">
        <v>159</v>
      </c>
    </row>
    <row r="580" spans="1:2">
      <c r="A580" s="2"/>
      <c r="B580" s="10" t="s">
        <v>1421</v>
      </c>
    </row>
    <row r="581" spans="1:2">
      <c r="A581" s="2"/>
      <c r="B581" s="10" t="s">
        <v>1422</v>
      </c>
    </row>
    <row r="582" spans="1:2">
      <c r="A582" s="2"/>
      <c r="B582" s="10" t="s">
        <v>1423</v>
      </c>
    </row>
    <row r="583" spans="1:2">
      <c r="A583" s="2"/>
      <c r="B583" s="10" t="s">
        <v>158</v>
      </c>
    </row>
    <row r="584" spans="1:2">
      <c r="A584" s="2"/>
      <c r="B584" s="10"/>
    </row>
    <row r="585" spans="1:2">
      <c r="A585" s="2"/>
      <c r="B585" s="10"/>
    </row>
    <row r="586" spans="1:2">
      <c r="A586" s="2"/>
      <c r="B586" s="285" t="s">
        <v>542</v>
      </c>
    </row>
    <row r="587" spans="1:2">
      <c r="B587" s="286" t="s">
        <v>548</v>
      </c>
    </row>
    <row r="589" spans="1:2">
      <c r="A589" s="9" t="s">
        <v>1030</v>
      </c>
    </row>
    <row r="590" spans="1:2">
      <c r="A590" s="9" t="s">
        <v>276</v>
      </c>
      <c r="B590" s="9" t="s">
        <v>962</v>
      </c>
    </row>
    <row r="591" spans="1:2">
      <c r="A591" s="9" t="s">
        <v>273</v>
      </c>
      <c r="B591" s="9" t="s">
        <v>962</v>
      </c>
    </row>
    <row r="592" spans="1:2">
      <c r="A592" s="9" t="s">
        <v>1342</v>
      </c>
      <c r="B592" s="9" t="s">
        <v>962</v>
      </c>
    </row>
    <row r="593" spans="1:2">
      <c r="A593" s="9" t="s">
        <v>1564</v>
      </c>
      <c r="B593" s="9" t="s">
        <v>962</v>
      </c>
    </row>
    <row r="594" spans="1:2">
      <c r="A594" s="9" t="s">
        <v>1899</v>
      </c>
      <c r="B594" s="9" t="s">
        <v>2245</v>
      </c>
    </row>
    <row r="595" spans="1:2">
      <c r="A595" s="9" t="s">
        <v>1663</v>
      </c>
      <c r="B595" s="9" t="s">
        <v>2245</v>
      </c>
    </row>
    <row r="596" spans="1:2">
      <c r="A596" s="9" t="s">
        <v>1917</v>
      </c>
      <c r="B596" s="9" t="s">
        <v>2245</v>
      </c>
    </row>
    <row r="597" spans="1:2">
      <c r="A597" s="9" t="s">
        <v>2229</v>
      </c>
      <c r="B597" s="9" t="s">
        <v>962</v>
      </c>
    </row>
    <row r="598" spans="1:2">
      <c r="A598" s="9" t="s">
        <v>806</v>
      </c>
      <c r="B598" s="9" t="s">
        <v>962</v>
      </c>
    </row>
    <row r="599" spans="1:2">
      <c r="A599" s="9" t="s">
        <v>804</v>
      </c>
      <c r="B599" s="9" t="s">
        <v>962</v>
      </c>
    </row>
    <row r="600" spans="1:2">
      <c r="A600" s="9" t="s">
        <v>2073</v>
      </c>
      <c r="B600" s="9" t="s">
        <v>962</v>
      </c>
    </row>
    <row r="601" spans="1:2">
      <c r="A601" s="9" t="s">
        <v>1852</v>
      </c>
      <c r="B601" s="10" t="s">
        <v>962</v>
      </c>
    </row>
    <row r="602" spans="1:2">
      <c r="A602" s="9" t="s">
        <v>1851</v>
      </c>
      <c r="B602" s="9" t="s">
        <v>2245</v>
      </c>
    </row>
    <row r="603" spans="1:2">
      <c r="A603" s="9" t="s">
        <v>1469</v>
      </c>
      <c r="B603" s="9" t="s">
        <v>2245</v>
      </c>
    </row>
    <row r="604" spans="1:2">
      <c r="A604" s="9" t="s">
        <v>819</v>
      </c>
      <c r="B604" s="9" t="s">
        <v>962</v>
      </c>
    </row>
    <row r="605" spans="1:2">
      <c r="A605" s="9" t="s">
        <v>930</v>
      </c>
      <c r="B605" s="9" t="s">
        <v>2245</v>
      </c>
    </row>
    <row r="606" spans="1:2">
      <c r="A606" s="9" t="s">
        <v>929</v>
      </c>
      <c r="B606" s="9" t="s">
        <v>962</v>
      </c>
    </row>
    <row r="607" spans="1:2">
      <c r="A607" s="9" t="s">
        <v>2244</v>
      </c>
      <c r="B607" s="9" t="s">
        <v>962</v>
      </c>
    </row>
    <row r="608" spans="1:2">
      <c r="A608" s="9" t="s">
        <v>2249</v>
      </c>
      <c r="B608" s="9" t="s">
        <v>2245</v>
      </c>
    </row>
    <row r="609" spans="1:8">
      <c r="A609" s="9" t="s">
        <v>2094</v>
      </c>
      <c r="B609" s="9" t="s">
        <v>962</v>
      </c>
    </row>
    <row r="610" spans="1:8">
      <c r="A610" s="9" t="s">
        <v>2095</v>
      </c>
      <c r="B610" s="9" t="s">
        <v>962</v>
      </c>
    </row>
    <row r="611" spans="1:8">
      <c r="A611" s="9" t="s">
        <v>2096</v>
      </c>
      <c r="B611" s="9" t="s">
        <v>962</v>
      </c>
    </row>
    <row r="612" spans="1:8">
      <c r="A612" s="9" t="s">
        <v>2097</v>
      </c>
      <c r="B612" s="9" t="s">
        <v>962</v>
      </c>
    </row>
    <row r="613" spans="1:8">
      <c r="A613" s="9" t="s">
        <v>2098</v>
      </c>
      <c r="B613" s="9" t="s">
        <v>962</v>
      </c>
      <c r="G613" s="10"/>
    </row>
    <row r="614" spans="1:8">
      <c r="A614" s="9" t="s">
        <v>2100</v>
      </c>
      <c r="B614" s="9" t="s">
        <v>2099</v>
      </c>
      <c r="G614" s="10"/>
    </row>
    <row r="615" spans="1:8">
      <c r="A615" s="9" t="s">
        <v>2101</v>
      </c>
      <c r="B615" s="9" t="s">
        <v>2245</v>
      </c>
      <c r="H615" s="2"/>
    </row>
    <row r="616" spans="1:8">
      <c r="A616" s="9" t="s">
        <v>2102</v>
      </c>
      <c r="B616" s="9" t="s">
        <v>2245</v>
      </c>
      <c r="H616" s="2"/>
    </row>
    <row r="617" spans="1:8">
      <c r="A617" s="9" t="s">
        <v>2104</v>
      </c>
      <c r="B617" s="9" t="s">
        <v>2103</v>
      </c>
      <c r="H617" s="2"/>
    </row>
    <row r="618" spans="1:8">
      <c r="A618" s="9" t="s">
        <v>2105</v>
      </c>
      <c r="B618" s="9" t="s">
        <v>962</v>
      </c>
      <c r="H618" s="2"/>
    </row>
    <row r="619" spans="1:8">
      <c r="A619" s="9" t="s">
        <v>2106</v>
      </c>
      <c r="B619" s="9" t="s">
        <v>2245</v>
      </c>
      <c r="H619" s="2"/>
    </row>
    <row r="620" spans="1:8">
      <c r="A620" s="9" t="s">
        <v>2107</v>
      </c>
      <c r="B620" s="9" t="s">
        <v>962</v>
      </c>
    </row>
    <row r="621" spans="1:8">
      <c r="A621" s="9" t="s">
        <v>2108</v>
      </c>
      <c r="B621" s="9" t="s">
        <v>2245</v>
      </c>
      <c r="H621" s="2"/>
    </row>
    <row r="622" spans="1:8">
      <c r="A622" s="9" t="s">
        <v>2109</v>
      </c>
      <c r="B622" s="9" t="s">
        <v>962</v>
      </c>
      <c r="H622" s="2"/>
    </row>
    <row r="623" spans="1:8">
      <c r="A623" s="9" t="s">
        <v>2110</v>
      </c>
      <c r="B623" s="9" t="s">
        <v>962</v>
      </c>
    </row>
    <row r="624" spans="1:8">
      <c r="A624" s="9" t="s">
        <v>2112</v>
      </c>
      <c r="B624" s="9" t="s">
        <v>2111</v>
      </c>
      <c r="H624" s="2"/>
    </row>
    <row r="625" spans="1:8">
      <c r="A625" s="9" t="s">
        <v>2113</v>
      </c>
      <c r="B625" s="9" t="s">
        <v>2245</v>
      </c>
      <c r="G625" s="8"/>
      <c r="H625" s="2"/>
    </row>
    <row r="626" spans="1:8">
      <c r="A626" s="9" t="s">
        <v>2114</v>
      </c>
      <c r="B626" s="9" t="s">
        <v>2111</v>
      </c>
      <c r="H626" s="2"/>
    </row>
    <row r="627" spans="1:8">
      <c r="A627" s="9" t="s">
        <v>2115</v>
      </c>
      <c r="B627" s="9" t="s">
        <v>2245</v>
      </c>
      <c r="H627" s="2"/>
    </row>
    <row r="628" spans="1:8">
      <c r="A628" s="9" t="s">
        <v>2116</v>
      </c>
      <c r="B628" s="9" t="s">
        <v>2245</v>
      </c>
      <c r="H628" s="2"/>
    </row>
    <row r="629" spans="1:8">
      <c r="A629" s="9" t="s">
        <v>2117</v>
      </c>
      <c r="B629" s="9" t="s">
        <v>2111</v>
      </c>
    </row>
    <row r="630" spans="1:8">
      <c r="A630" s="9" t="s">
        <v>2118</v>
      </c>
      <c r="B630" s="9" t="s">
        <v>2245</v>
      </c>
      <c r="H630" s="2"/>
    </row>
    <row r="631" spans="1:8">
      <c r="A631" s="9" t="s">
        <v>2119</v>
      </c>
      <c r="B631" s="9" t="s">
        <v>2111</v>
      </c>
      <c r="H631" s="2"/>
    </row>
    <row r="632" spans="1:8">
      <c r="A632" s="9" t="s">
        <v>2120</v>
      </c>
      <c r="B632" s="9" t="s">
        <v>2245</v>
      </c>
      <c r="H632" s="2"/>
    </row>
    <row r="633" spans="1:8">
      <c r="A633" s="9" t="s">
        <v>2121</v>
      </c>
      <c r="B633" s="9" t="s">
        <v>2245</v>
      </c>
      <c r="H633" s="2"/>
    </row>
    <row r="634" spans="1:8">
      <c r="A634" s="9" t="s">
        <v>2122</v>
      </c>
      <c r="B634" s="9" t="s">
        <v>2245</v>
      </c>
      <c r="H634" s="2"/>
    </row>
    <row r="635" spans="1:8">
      <c r="A635" s="9" t="s">
        <v>2123</v>
      </c>
      <c r="B635" s="9" t="s">
        <v>2245</v>
      </c>
      <c r="H635" s="2"/>
    </row>
    <row r="636" spans="1:8">
      <c r="A636" s="9" t="s">
        <v>2125</v>
      </c>
      <c r="B636" s="9" t="s">
        <v>2124</v>
      </c>
      <c r="H636" s="2"/>
    </row>
    <row r="637" spans="1:8">
      <c r="A637" s="9" t="s">
        <v>2126</v>
      </c>
      <c r="B637" s="9" t="s">
        <v>2245</v>
      </c>
      <c r="H637" s="2"/>
    </row>
    <row r="638" spans="1:8">
      <c r="A638" s="9" t="s">
        <v>2127</v>
      </c>
      <c r="B638" s="9" t="s">
        <v>2124</v>
      </c>
      <c r="H638" s="2"/>
    </row>
    <row r="639" spans="1:8">
      <c r="A639" s="9" t="s">
        <v>2128</v>
      </c>
      <c r="B639" s="9" t="s">
        <v>2245</v>
      </c>
      <c r="H639" s="2"/>
    </row>
    <row r="640" spans="1:8">
      <c r="A640" s="9" t="s">
        <v>2129</v>
      </c>
      <c r="B640" s="9" t="s">
        <v>2245</v>
      </c>
      <c r="H640" s="2"/>
    </row>
    <row r="641" spans="1:8">
      <c r="A641" s="9" t="s">
        <v>2130</v>
      </c>
      <c r="B641" s="9" t="s">
        <v>2245</v>
      </c>
      <c r="H641" s="2"/>
    </row>
    <row r="642" spans="1:8">
      <c r="A642" s="9" t="s">
        <v>2131</v>
      </c>
      <c r="B642" s="9" t="s">
        <v>2124</v>
      </c>
      <c r="H642" s="2"/>
    </row>
    <row r="643" spans="1:8">
      <c r="A643" s="9" t="s">
        <v>2132</v>
      </c>
      <c r="B643" s="9" t="s">
        <v>2245</v>
      </c>
      <c r="H643" s="2"/>
    </row>
    <row r="644" spans="1:8">
      <c r="A644" s="9" t="s">
        <v>2133</v>
      </c>
      <c r="B644" s="9" t="s">
        <v>2245</v>
      </c>
      <c r="H644" s="2"/>
    </row>
    <row r="645" spans="1:8">
      <c r="A645" s="9" t="s">
        <v>2134</v>
      </c>
      <c r="B645" s="2"/>
    </row>
    <row r="646" spans="1:8">
      <c r="A646" s="9" t="s">
        <v>2135</v>
      </c>
      <c r="B646" s="2"/>
      <c r="H646" s="2"/>
    </row>
    <row r="647" spans="1:8">
      <c r="B647" s="2"/>
      <c r="H647" s="2"/>
    </row>
    <row r="648" spans="1:8">
      <c r="H648" s="2"/>
    </row>
    <row r="649" spans="1:8">
      <c r="H649" s="2"/>
    </row>
    <row r="650" spans="1:8">
      <c r="G650" s="11"/>
      <c r="H650" s="2"/>
    </row>
    <row r="651" spans="1:8">
      <c r="G651" s="11"/>
      <c r="H651" s="2"/>
    </row>
    <row r="652" spans="1:8">
      <c r="G652" s="11"/>
      <c r="H652" s="2"/>
    </row>
    <row r="653" spans="1:8">
      <c r="H653" s="2"/>
    </row>
    <row r="654" spans="1:8">
      <c r="H654" s="2"/>
    </row>
    <row r="655" spans="1:8">
      <c r="H655" s="2"/>
    </row>
    <row r="656" spans="1:8">
      <c r="H656" s="2"/>
    </row>
    <row r="657" spans="7:8">
      <c r="H657" s="2"/>
    </row>
    <row r="658" spans="7:8">
      <c r="H658" s="2"/>
    </row>
    <row r="659" spans="7:8">
      <c r="H659" s="2"/>
    </row>
    <row r="661" spans="7:8">
      <c r="H661" s="2"/>
    </row>
    <row r="662" spans="7:8">
      <c r="H662" s="2"/>
    </row>
    <row r="663" spans="7:8">
      <c r="H663" s="2"/>
    </row>
    <row r="665" spans="7:8">
      <c r="H665" s="2"/>
    </row>
    <row r="666" spans="7:8">
      <c r="G666" s="12"/>
      <c r="H666" s="2"/>
    </row>
    <row r="667" spans="7:8">
      <c r="G667" s="287"/>
      <c r="H667" s="2"/>
    </row>
    <row r="668" spans="7:8">
      <c r="G668" s="287"/>
      <c r="H668" s="2"/>
    </row>
    <row r="669" spans="7:8">
      <c r="G669" s="287"/>
      <c r="H669" s="2"/>
    </row>
    <row r="670" spans="7:8">
      <c r="G670" s="287"/>
      <c r="H670" s="2"/>
    </row>
    <row r="671" spans="7:8">
      <c r="G671" s="287"/>
      <c r="H671" s="2"/>
    </row>
    <row r="672" spans="7:8">
      <c r="H672" s="2"/>
    </row>
    <row r="673" spans="7:8">
      <c r="H673" s="2"/>
    </row>
    <row r="674" spans="7:8">
      <c r="H674" s="2"/>
    </row>
    <row r="675" spans="7:8">
      <c r="G675" s="12"/>
      <c r="H675" s="2"/>
    </row>
    <row r="676" spans="7:8">
      <c r="G676" s="12"/>
      <c r="H676" s="2"/>
    </row>
    <row r="677" spans="7:8">
      <c r="H677" s="2"/>
    </row>
    <row r="680" spans="7:8">
      <c r="G680" s="12"/>
    </row>
    <row r="689" spans="1:8">
      <c r="G689" s="9"/>
    </row>
    <row r="690" spans="1:8">
      <c r="G690" s="9"/>
    </row>
    <row r="691" spans="1:8">
      <c r="G691" s="9"/>
    </row>
    <row r="692" spans="1:8">
      <c r="B692" s="8"/>
      <c r="G692" s="9"/>
    </row>
    <row r="693" spans="1:8">
      <c r="A693" s="2"/>
      <c r="H693" s="2"/>
    </row>
    <row r="694" spans="1:8">
      <c r="A694" s="2"/>
      <c r="B694" s="13"/>
      <c r="H694" s="2"/>
    </row>
    <row r="695" spans="1:8">
      <c r="H695" s="2"/>
    </row>
    <row r="696" spans="1:8">
      <c r="B696" s="8"/>
      <c r="H696" s="2"/>
    </row>
    <row r="697" spans="1:8">
      <c r="H697" s="2"/>
    </row>
    <row r="698" spans="1:8">
      <c r="B698" s="8"/>
    </row>
    <row r="699" spans="1:8">
      <c r="H699" s="2"/>
    </row>
    <row r="700" spans="1:8">
      <c r="H700" s="2"/>
    </row>
    <row r="701" spans="1:8">
      <c r="H701" s="2"/>
    </row>
    <row r="702" spans="1:8">
      <c r="H702" s="2"/>
    </row>
    <row r="703" spans="1:8">
      <c r="H703" s="2"/>
    </row>
    <row r="704" spans="1:8">
      <c r="H704" s="2"/>
    </row>
    <row r="705" spans="6:8">
      <c r="H705" s="2"/>
    </row>
    <row r="706" spans="6:8">
      <c r="H706" s="2"/>
    </row>
    <row r="708" spans="6:8">
      <c r="H708" s="2"/>
    </row>
    <row r="709" spans="6:8">
      <c r="H709" s="2"/>
    </row>
    <row r="710" spans="6:8">
      <c r="H710" s="2"/>
    </row>
    <row r="711" spans="6:8">
      <c r="G711" s="9"/>
      <c r="H711" s="2"/>
    </row>
    <row r="712" spans="6:8">
      <c r="H712" s="2"/>
    </row>
    <row r="713" spans="6:8">
      <c r="H713" s="2"/>
    </row>
    <row r="715" spans="6:8">
      <c r="H715" s="2"/>
    </row>
    <row r="716" spans="6:8">
      <c r="H716" s="2"/>
    </row>
    <row r="717" spans="6:8">
      <c r="H717" s="2"/>
    </row>
    <row r="719" spans="6:8">
      <c r="H719" s="2"/>
    </row>
    <row r="720" spans="6:8">
      <c r="F720" s="9"/>
      <c r="G720" s="9"/>
      <c r="H720" s="2"/>
    </row>
    <row r="721" spans="6:8">
      <c r="F721" s="9"/>
      <c r="H721" s="2"/>
    </row>
    <row r="722" spans="6:8">
      <c r="F722" s="9"/>
      <c r="G722" s="9"/>
      <c r="H722" s="2"/>
    </row>
    <row r="723" spans="6:8">
      <c r="H723" s="2"/>
    </row>
    <row r="724" spans="6:8">
      <c r="H724" s="2"/>
    </row>
    <row r="725" spans="6:8">
      <c r="H725" s="2"/>
    </row>
    <row r="727" spans="6:8">
      <c r="H727" s="2"/>
    </row>
    <row r="728" spans="6:8">
      <c r="H728" s="2"/>
    </row>
    <row r="729" spans="6:8">
      <c r="H729" s="2"/>
    </row>
    <row r="730" spans="6:8">
      <c r="H730" s="2"/>
    </row>
    <row r="731" spans="6:8">
      <c r="H731" s="2"/>
    </row>
    <row r="732" spans="6:8">
      <c r="H732" s="2"/>
    </row>
    <row r="733" spans="6:8">
      <c r="H733" s="2"/>
    </row>
    <row r="734" spans="6:8">
      <c r="H734" s="2"/>
    </row>
    <row r="736" spans="6:8">
      <c r="H736" s="2"/>
    </row>
    <row r="737" spans="5:8">
      <c r="H737" s="2"/>
    </row>
    <row r="738" spans="5:8">
      <c r="H738" s="2"/>
    </row>
    <row r="739" spans="5:8">
      <c r="H739" s="2"/>
    </row>
    <row r="741" spans="5:8">
      <c r="F741" s="8"/>
      <c r="H741" s="2"/>
    </row>
    <row r="742" spans="5:8">
      <c r="E742" s="285"/>
      <c r="F742" s="8"/>
      <c r="H742" s="2"/>
    </row>
    <row r="743" spans="5:8">
      <c r="F743" s="8"/>
      <c r="H743" s="2"/>
    </row>
    <row r="744" spans="5:8">
      <c r="F744" s="8"/>
      <c r="H744" s="2"/>
    </row>
    <row r="745" spans="5:8">
      <c r="E745" s="285"/>
      <c r="F745" s="8"/>
      <c r="H745" s="2"/>
    </row>
    <row r="746" spans="5:8">
      <c r="F746" s="8"/>
      <c r="H746" s="2"/>
    </row>
    <row r="747" spans="5:8">
      <c r="F747" s="8"/>
      <c r="H747" s="2"/>
    </row>
    <row r="748" spans="5:8">
      <c r="F748" s="8"/>
      <c r="H748" s="2"/>
    </row>
    <row r="749" spans="5:8">
      <c r="F749" s="8"/>
      <c r="H749" s="2"/>
    </row>
    <row r="750" spans="5:8">
      <c r="F750" s="8"/>
      <c r="H750" s="2"/>
    </row>
    <row r="751" spans="5:8">
      <c r="F751" s="8"/>
      <c r="H751" s="2"/>
    </row>
    <row r="752" spans="5:8">
      <c r="F752" s="8"/>
      <c r="H752" s="2"/>
    </row>
    <row r="753" spans="1:8" s="2" customFormat="1">
      <c r="F753" s="8"/>
    </row>
    <row r="754" spans="1:8" s="2" customFormat="1">
      <c r="F754" s="8"/>
    </row>
    <row r="755" spans="1:8" s="2" customFormat="1">
      <c r="F755" s="8"/>
    </row>
    <row r="756" spans="1:8" s="2" customFormat="1">
      <c r="F756" s="8"/>
    </row>
    <row r="757" spans="1:8" s="2" customFormat="1">
      <c r="F757" s="8"/>
    </row>
    <row r="758" spans="1:8" s="2" customFormat="1">
      <c r="F758" s="8"/>
    </row>
    <row r="759" spans="1:8" s="2" customFormat="1">
      <c r="F759" s="8"/>
    </row>
    <row r="760" spans="1:8" s="2" customFormat="1">
      <c r="F760" s="8"/>
    </row>
    <row r="761" spans="1:8" s="2" customFormat="1">
      <c r="F761" s="8"/>
    </row>
    <row r="762" spans="1:8" s="2" customFormat="1">
      <c r="F762" s="8"/>
    </row>
    <row r="763" spans="1:8" s="2" customFormat="1">
      <c r="F763" s="8"/>
    </row>
    <row r="764" spans="1:8" s="2" customFormat="1">
      <c r="F764" s="8"/>
    </row>
    <row r="765" spans="1:8">
      <c r="A765" s="2"/>
      <c r="B765" s="2"/>
      <c r="E765" s="8"/>
      <c r="F765" s="8"/>
      <c r="H765" s="2"/>
    </row>
    <row r="766" spans="1:8">
      <c r="A766" s="2"/>
      <c r="B766" s="2"/>
      <c r="E766" s="8"/>
      <c r="F766" s="8"/>
      <c r="H766" s="2"/>
    </row>
    <row r="767" spans="1:8">
      <c r="A767" s="2"/>
      <c r="B767" s="2"/>
      <c r="E767" s="8"/>
      <c r="F767" s="8"/>
      <c r="H767" s="2"/>
    </row>
    <row r="768" spans="1:8">
      <c r="A768" s="2"/>
      <c r="B768" s="2"/>
      <c r="C768" s="8"/>
      <c r="E768" s="8"/>
      <c r="F768" s="8"/>
      <c r="H768" s="2"/>
    </row>
    <row r="769" spans="1:8">
      <c r="A769" s="2"/>
      <c r="B769" s="2"/>
      <c r="C769" s="8"/>
      <c r="E769" s="8"/>
      <c r="F769" s="8"/>
      <c r="H769" s="2"/>
    </row>
    <row r="770" spans="1:8">
      <c r="A770" s="2"/>
      <c r="B770" s="2"/>
      <c r="C770" s="8"/>
      <c r="E770" s="8"/>
      <c r="F770" s="8"/>
      <c r="H770" s="2"/>
    </row>
    <row r="771" spans="1:8">
      <c r="A771" s="2"/>
      <c r="B771" s="2"/>
      <c r="C771" s="8"/>
      <c r="D771" s="8"/>
      <c r="E771" s="8"/>
      <c r="F771" s="8"/>
      <c r="H771" s="2"/>
    </row>
    <row r="772" spans="1:8">
      <c r="A772" s="2"/>
      <c r="B772" s="2"/>
      <c r="C772" s="8"/>
      <c r="E772" s="8"/>
      <c r="F772" s="14"/>
      <c r="H772" s="2"/>
    </row>
    <row r="773" spans="1:8">
      <c r="A773" s="2"/>
      <c r="B773" s="2"/>
      <c r="C773" s="8"/>
      <c r="E773" s="8"/>
      <c r="F773" s="14"/>
      <c r="H773" s="2"/>
    </row>
    <row r="774" spans="1:8">
      <c r="A774" s="2"/>
      <c r="B774" s="2"/>
      <c r="C774" s="8"/>
      <c r="F774" s="14"/>
      <c r="H774" s="2"/>
    </row>
    <row r="775" spans="1:8">
      <c r="B775" s="2"/>
      <c r="C775" s="8"/>
      <c r="F775" s="8"/>
      <c r="H775" s="2"/>
    </row>
    <row r="776" spans="1:8">
      <c r="C776" s="8"/>
      <c r="F776" s="8"/>
      <c r="H776" s="2"/>
    </row>
    <row r="777" spans="1:8">
      <c r="F777" s="8"/>
      <c r="H777" s="2"/>
    </row>
    <row r="778" spans="1:8">
      <c r="F778" s="8"/>
      <c r="H778" s="2"/>
    </row>
    <row r="779" spans="1:8">
      <c r="F779" s="8"/>
      <c r="H779" s="2"/>
    </row>
    <row r="780" spans="1:8">
      <c r="F780" s="8"/>
      <c r="H780" s="2"/>
    </row>
    <row r="781" spans="1:8">
      <c r="F781" s="8"/>
      <c r="H781" s="2"/>
    </row>
    <row r="782" spans="1:8">
      <c r="F782" s="8"/>
      <c r="H782" s="2"/>
    </row>
    <row r="783" spans="1:8">
      <c r="D783" s="8"/>
      <c r="F783" s="8"/>
      <c r="H783" s="2"/>
    </row>
    <row r="784" spans="1:8">
      <c r="D784" s="8"/>
      <c r="F784" s="8"/>
      <c r="H784" s="2"/>
    </row>
    <row r="785" spans="4:8">
      <c r="D785" s="8"/>
      <c r="F785" s="8"/>
      <c r="H785" s="2"/>
    </row>
    <row r="786" spans="4:8">
      <c r="D786" s="8"/>
      <c r="F786" s="8"/>
      <c r="H786"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sqref="A1:A2"/>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12" t="s">
        <v>3081</v>
      </c>
      <c r="B1" s="1416"/>
      <c r="C1" s="1417"/>
      <c r="D1" s="1138" t="s">
        <v>271</v>
      </c>
      <c r="E1" s="1422" t="s">
        <v>2137</v>
      </c>
      <c r="F1" s="1423"/>
      <c r="G1" s="1423"/>
      <c r="H1" s="1423"/>
      <c r="I1" s="1423"/>
      <c r="J1" s="1423"/>
      <c r="K1" s="1424"/>
      <c r="L1" s="1415">
        <f>E143/20/100</f>
        <v>0.39383314060168295</v>
      </c>
      <c r="M1" s="1415"/>
      <c r="N1" s="105" t="s">
        <v>1214</v>
      </c>
      <c r="O1" s="18"/>
      <c r="P1" s="490"/>
      <c r="Q1" s="490"/>
      <c r="R1" s="490"/>
      <c r="S1" s="491"/>
      <c r="T1" s="1118"/>
      <c r="U1" s="1119" t="s">
        <v>3042</v>
      </c>
      <c r="V1" s="1120"/>
      <c r="W1" s="1120"/>
      <c r="X1" s="1121"/>
      <c r="Y1" s="1122"/>
      <c r="Z1" s="27"/>
      <c r="AD1" s="1338"/>
      <c r="AE1" s="1338"/>
      <c r="AF1" s="1338"/>
    </row>
    <row r="2" spans="1:32" ht="13.5" thickBot="1">
      <c r="A2" s="1413"/>
      <c r="B2" s="1109" t="s">
        <v>1137</v>
      </c>
      <c r="C2" s="1110">
        <f>SUM('Damage Calc'!J2:J7)</f>
        <v>1002.017991686008</v>
      </c>
      <c r="D2" s="1111">
        <f>C2/$C$6</f>
        <v>0.64430892978265919</v>
      </c>
      <c r="E2" s="1418" t="str">
        <f>cycle</f>
        <v>Cycle: 1s/5r   SnD Slack: 1.24</v>
      </c>
      <c r="F2" s="1419"/>
      <c r="G2" s="1419"/>
      <c r="H2" s="1419"/>
      <c r="I2" s="1419"/>
      <c r="J2" s="1419"/>
      <c r="K2" s="1420"/>
      <c r="L2" s="1415">
        <f>(K143/dorate)/100</f>
        <v>0</v>
      </c>
      <c r="M2" s="1415"/>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327.58159382962725</v>
      </c>
      <c r="D3" s="1114">
        <f>C3/$C$6</f>
        <v>0.21063867903382291</v>
      </c>
      <c r="E3" s="1425" t="s">
        <v>2136</v>
      </c>
      <c r="F3" s="1426"/>
      <c r="G3" s="1427" t="s">
        <v>770</v>
      </c>
      <c r="H3" s="1427"/>
      <c r="I3" s="1426" t="s">
        <v>767</v>
      </c>
      <c r="J3" s="1426"/>
      <c r="K3" s="1134" t="s">
        <v>769</v>
      </c>
      <c r="L3" s="1415">
        <f>(ROUNDDOWN(M143/defrating_def,0)*0.04)/100</f>
        <v>0</v>
      </c>
      <c r="M3" s="1415"/>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119.18260098388045</v>
      </c>
      <c r="D4" s="1117">
        <f>C4/$C$6</f>
        <v>7.6635763754530198E-2</v>
      </c>
      <c r="E4" s="1428">
        <f>3524+INT(F143)*10</f>
        <v>9674</v>
      </c>
      <c r="F4" s="1429"/>
      <c r="G4" s="1446">
        <f>(1+'Gear &amp; Buffs'!$P$143/(hasterate*100))</f>
        <v>1.0808524183153847</v>
      </c>
      <c r="H4" s="1446"/>
      <c r="I4" s="1421">
        <f>ap</f>
        <v>3165.5289383329646</v>
      </c>
      <c r="J4" s="1421"/>
      <c r="K4" s="1135">
        <f>'Damage Calc'!$Q$42</f>
        <v>4010</v>
      </c>
      <c r="L4" s="1414">
        <f>-0.59/100</f>
        <v>-5.8999999999999999E-3</v>
      </c>
      <c r="M4" s="1414"/>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106.40034375660329</v>
      </c>
      <c r="D5" s="1114">
        <f>C5/$C$6</f>
        <v>6.84166274289877E-2</v>
      </c>
      <c r="E5" s="1434" t="s">
        <v>2139</v>
      </c>
      <c r="F5" s="1435"/>
      <c r="G5" s="1436" t="s">
        <v>2138</v>
      </c>
      <c r="H5" s="1436"/>
      <c r="I5" s="1435" t="s">
        <v>2140</v>
      </c>
      <c r="J5" s="1435"/>
      <c r="K5" s="1136" t="s">
        <v>2143</v>
      </c>
      <c r="L5" s="1414">
        <f>((CharLevel-BossLevel)*(0.2))/100</f>
        <v>-6.000000000000001E-3</v>
      </c>
      <c r="M5" s="1414"/>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1555.182530256119</v>
      </c>
      <c r="D6" s="1133">
        <f>D2+D3+D4+D5</f>
        <v>1</v>
      </c>
      <c r="E6" s="1433">
        <f>((E143/agicrit+G143/crrate)/100)+bwrath+(CharLevel-BossLevel)*bosscrit*5-IF(BossLevel*5-CharLevel*5&gt;10, 1.8%, 0)</f>
        <v>0.22111169225206101</v>
      </c>
      <c r="F6" s="1430"/>
      <c r="G6" s="1430">
        <f>'Damage Calc'!Q2+-'Gear &amp; Buffs'!I6</f>
        <v>0.26956097560975611</v>
      </c>
      <c r="H6" s="1430"/>
      <c r="I6" s="1430">
        <f>'Damage Calc'!B19</f>
        <v>4.3902439024390283E-4</v>
      </c>
      <c r="J6" s="1430"/>
      <c r="K6" s="1137">
        <f>'Damage Calc'!B20</f>
        <v>2.0000000000000004E-2</v>
      </c>
      <c r="L6" s="1445">
        <f>MAX((-0.59+E143/20+(K143/dorate)+(ROUNDDOWN(M143/defrating_def,0)*0.04))/100+0.2%*(CharLevel-BossLevel),0%)</f>
        <v>0.38193314060168293</v>
      </c>
      <c r="M6" s="1414"/>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1555.182530256119</v>
      </c>
      <c r="D7" s="492">
        <f>C7*0.71</f>
        <v>1104.1795964818443</v>
      </c>
      <c r="E7" s="44" t="s">
        <v>1176</v>
      </c>
      <c r="L7" s="1450">
        <f>Talents!H8</f>
        <v>0.4699331406016829</v>
      </c>
      <c r="M7" s="1451"/>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405">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52" t="s">
        <v>2209</v>
      </c>
      <c r="V22" s="1453"/>
      <c r="W22" s="1453"/>
      <c r="X22" s="1454"/>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43" t="s">
        <v>3266</v>
      </c>
      <c r="V23" s="1444"/>
      <c r="W23" s="1444"/>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37" t="s">
        <v>3267</v>
      </c>
      <c r="V24" s="1438"/>
      <c r="W24" s="1438"/>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37" t="s">
        <v>3268</v>
      </c>
      <c r="V25" s="1438"/>
      <c r="W25" s="1438"/>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43" t="s">
        <v>462</v>
      </c>
      <c r="V26" s="1444"/>
      <c r="W26" s="1444"/>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43" t="s">
        <v>433</v>
      </c>
      <c r="V27" s="1444"/>
      <c r="W27" s="1444"/>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37" t="s">
        <v>434</v>
      </c>
      <c r="V28" s="1438"/>
      <c r="W28" s="1438"/>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47" t="s">
        <v>2213</v>
      </c>
      <c r="V29" s="1438"/>
      <c r="W29" s="1438"/>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43" t="s">
        <v>435</v>
      </c>
      <c r="V30" s="1444"/>
      <c r="W30" s="1444"/>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43" t="s">
        <v>436</v>
      </c>
      <c r="V31" s="1444"/>
      <c r="W31" s="1444"/>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37" t="s">
        <v>657</v>
      </c>
      <c r="V32" s="1438"/>
      <c r="W32" s="1438"/>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43" t="s">
        <v>658</v>
      </c>
      <c r="V33" s="1444"/>
      <c r="W33" s="1444"/>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37" t="s">
        <v>1114</v>
      </c>
      <c r="V34" s="1449"/>
      <c r="W34" s="1449"/>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37" t="s">
        <v>1115</v>
      </c>
      <c r="V35" s="1449"/>
      <c r="W35" s="1449"/>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43" t="s">
        <v>1118</v>
      </c>
      <c r="V36" s="1448"/>
      <c r="W36" s="1448"/>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43" t="s">
        <v>1121</v>
      </c>
      <c r="V37" s="1448"/>
      <c r="W37" s="1448"/>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37" t="s">
        <v>1122</v>
      </c>
      <c r="V38" s="1438"/>
      <c r="W38" s="1438"/>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41" t="s">
        <v>961</v>
      </c>
      <c r="V39" s="1442"/>
      <c r="W39" s="1442"/>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99.923869008308046</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381.15216877515627</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1" t="s">
        <v>1941</v>
      </c>
      <c r="C78" s="1432"/>
      <c r="D78" s="1148">
        <f>SUM(D10:D76)</f>
        <v>101</v>
      </c>
      <c r="E78" s="1148">
        <f>(SUM(E10:E76)+IF(time=0,0,'Cooldowns Calc'!Y1))*(1+Talents!F33/100)*(1+Talents!I36*3/100)</f>
        <v>675.15470163644818</v>
      </c>
      <c r="F78" s="1148">
        <f>(SUM(F10:F76))*(1+Talents!F33/50)</f>
        <v>431.6</v>
      </c>
      <c r="G78" s="1148">
        <f>SUM(G10:G76)</f>
        <v>159.38461538461539</v>
      </c>
      <c r="H78" s="1148">
        <f>SUM(H10:H76)+Y34</f>
        <v>420.84615384615381</v>
      </c>
      <c r="I78" s="1148">
        <f>(SUM(I10:I76)+E78+D78+120+Y33+Y35+IF(time=0,0,'Cooldowns Calc'!Z1))*deadliness</f>
        <v>1792.3120007357772</v>
      </c>
      <c r="J78" s="1148">
        <f>SUM(J10:J76)+Y28+Y29</f>
        <v>0</v>
      </c>
      <c r="K78" s="1148">
        <f>SUM(K10:K76)+Y32</f>
        <v>0</v>
      </c>
      <c r="L78" s="1148">
        <f>SUM(L10:L76)</f>
        <v>53.42307692307692</v>
      </c>
      <c r="M78" s="1148">
        <f>SUM(M10:M76)</f>
        <v>0</v>
      </c>
      <c r="N78" s="1148"/>
      <c r="O78" s="1148"/>
      <c r="P78" s="1148">
        <f>SUM(P10:P76)</f>
        <v>127.49804426656831</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39" t="s">
        <v>3043</v>
      </c>
      <c r="C143" s="1440"/>
      <c r="D143" s="1150">
        <f>D78+SUM(D80:D141)</f>
        <v>262.68</v>
      </c>
      <c r="E143" s="1150">
        <f>E78+SUM(E80:E141)*(1+Talents!F33/100)*(1+Talents!I36*3/100)</f>
        <v>787.66628120336588</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3165.5289383329646</v>
      </c>
      <c r="J143" s="1150">
        <f>SUM(J78:J141)</f>
        <v>0</v>
      </c>
      <c r="K143" s="1150">
        <f>SUM(K78:K141)</f>
        <v>0</v>
      </c>
      <c r="L143" s="1150">
        <f>SUM(L78:L141)</f>
        <v>53.42307692307692</v>
      </c>
      <c r="M143" s="1150">
        <f>SUM(M78:M141)</f>
        <v>0</v>
      </c>
      <c r="N143" s="1150"/>
      <c r="O143" s="1150"/>
      <c r="P143" s="1150">
        <f>SUM(P78:P142)</f>
        <v>127.49804426656831</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sqref="A1:A2"/>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1024</v>
      </c>
      <c r="B1" s="1466" t="str">
        <f>cycle</f>
        <v>Cycle: 1s/5r   SnD Slack: 1.24</v>
      </c>
      <c r="C1" s="1466"/>
      <c r="D1" s="1467"/>
      <c r="E1" s="1462" t="s">
        <v>590</v>
      </c>
      <c r="F1" s="1463"/>
      <c r="G1" s="1464" t="s">
        <v>591</v>
      </c>
      <c r="H1" s="1465"/>
      <c r="I1" s="1474" t="s">
        <v>592</v>
      </c>
      <c r="J1" s="1475"/>
      <c r="K1" s="1476"/>
      <c r="L1" s="1463"/>
      <c r="M1" s="1490" t="s">
        <v>2324</v>
      </c>
      <c r="N1" s="1491"/>
      <c r="O1" s="1491"/>
      <c r="P1" s="1491"/>
      <c r="Q1" s="1492"/>
    </row>
    <row r="2" spans="1:26" ht="12.75" customHeight="1" thickBot="1">
      <c r="A2" s="1520"/>
      <c r="B2" s="1468"/>
      <c r="C2" s="1468"/>
      <c r="D2" s="1469"/>
      <c r="E2" s="1075" t="s">
        <v>593</v>
      </c>
      <c r="F2" s="1015">
        <f>ap</f>
        <v>3165.5289383329646</v>
      </c>
      <c r="G2" s="906" t="s">
        <v>598</v>
      </c>
      <c r="H2" s="1015">
        <f>hp</f>
        <v>9674</v>
      </c>
      <c r="I2" s="1477"/>
      <c r="J2" s="1478"/>
      <c r="K2" s="1479"/>
      <c r="L2" s="907"/>
      <c r="M2" s="1499" t="s">
        <v>2319</v>
      </c>
      <c r="N2" s="1500"/>
      <c r="O2" s="1023" t="str">
        <f>ROUND(SUM('Damage Calc'!$J$2:$J$7),2)&amp;"  "</f>
        <v xml:space="preserve">1002.02  </v>
      </c>
      <c r="P2" s="1493" t="str">
        <f>ROUND(SUM('Damage Calc'!$J$2:$J$7)/'Damage Calc'!$J$16*100,0)&amp;"%  "</f>
        <v xml:space="preserve">64%  </v>
      </c>
      <c r="Q2" s="1494"/>
    </row>
    <row r="3" spans="1:26" ht="12.75" customHeight="1">
      <c r="A3" s="1458" t="s">
        <v>1537</v>
      </c>
      <c r="B3" s="1470">
        <f>'Damage Calc'!$J$16</f>
        <v>1555.182530256119</v>
      </c>
      <c r="C3" s="1470"/>
      <c r="D3" s="1471"/>
      <c r="E3" s="1011" t="s">
        <v>594</v>
      </c>
      <c r="F3" s="1012">
        <f>'Damage Calc'!Q2-Talents!F4</f>
        <v>0.26956097560975611</v>
      </c>
      <c r="G3" s="1011" t="s">
        <v>599</v>
      </c>
      <c r="H3" s="1012">
        <f>dodge</f>
        <v>0.38193314060168293</v>
      </c>
      <c r="I3" s="1480" t="s">
        <v>2315</v>
      </c>
      <c r="J3" s="1481"/>
      <c r="K3" s="1482"/>
      <c r="L3" s="1016">
        <f>CEILING(($F$4*100)*(10*conv),1)</f>
        <v>1</v>
      </c>
      <c r="M3" s="1513" t="str">
        <f>"  "&amp;instatklng&amp;" DPS"</f>
        <v xml:space="preserve">  Sinister Strike DPS</v>
      </c>
      <c r="N3" s="1514"/>
      <c r="O3" s="1080" t="str">
        <f>ROUND('Damage Calc'!$J$8,2)&amp;"  "</f>
        <v xml:space="preserve">327.58  </v>
      </c>
      <c r="P3" s="1495" t="str">
        <f>ROUND('Damage Calc'!$J$8/'Damage Calc'!$J$16*100,0)&amp;"%  "</f>
        <v xml:space="preserve">21%  </v>
      </c>
      <c r="Q3" s="1496"/>
    </row>
    <row r="4" spans="1:26" ht="12.75" customHeight="1" thickBot="1">
      <c r="A4" s="1459"/>
      <c r="B4" s="1472"/>
      <c r="C4" s="1472"/>
      <c r="D4" s="1473"/>
      <c r="E4" s="1077" t="s">
        <v>595</v>
      </c>
      <c r="F4" s="1017">
        <f>bMHmiss</f>
        <v>4.3902439024390283E-4</v>
      </c>
      <c r="G4" s="1018" t="s">
        <v>600</v>
      </c>
      <c r="H4" s="1019">
        <f>'Gear &amp; Buffs'!$J$143</f>
        <v>0</v>
      </c>
      <c r="I4" s="1483" t="s">
        <v>2316</v>
      </c>
      <c r="J4" s="1456"/>
      <c r="K4" s="1457"/>
      <c r="L4" s="1076">
        <f>'Damage Calc'!D34</f>
        <v>30</v>
      </c>
      <c r="M4" s="1515" t="s">
        <v>2320</v>
      </c>
      <c r="N4" s="1516"/>
      <c r="O4" s="1024" t="str">
        <f>ROUND('Damage Calc'!$J$10+'Damage Calc'!$J$11+'Damage Calc'!$J$12,2)&amp;"  "</f>
        <v xml:space="preserve">119.18  </v>
      </c>
      <c r="P4" s="1497" t="str">
        <f>ROUND(('Damage Calc'!$J$10+'Damage Calc'!$J$11+'Damage Calc'!$J$12)/'Damage Calc'!$J$16*100,0)&amp;"%  "</f>
        <v xml:space="preserve">8%  </v>
      </c>
      <c r="Q4" s="1498"/>
    </row>
    <row r="5" spans="1:26" ht="12.75" customHeight="1" thickBot="1">
      <c r="A5" s="1008" t="s">
        <v>1136</v>
      </c>
      <c r="B5" s="1460">
        <f>'Gear &amp; Buffs'!$C$7</f>
        <v>1555.182530256119</v>
      </c>
      <c r="C5" s="1460"/>
      <c r="D5" s="1461"/>
      <c r="E5" s="1011" t="s">
        <v>596</v>
      </c>
      <c r="F5" s="1012">
        <f>bMHcrit</f>
        <v>0.22111169225206101</v>
      </c>
      <c r="G5" s="1081" t="s">
        <v>1320</v>
      </c>
      <c r="H5" s="1012">
        <f>('Gear &amp; Buffs'!J143/(25*conv)+Talents!I17)/100</f>
        <v>0</v>
      </c>
      <c r="I5" s="1484"/>
      <c r="J5" s="1481"/>
      <c r="K5" s="1482"/>
      <c r="L5" s="1020"/>
      <c r="M5" s="1517" t="s">
        <v>2321</v>
      </c>
      <c r="N5" s="1518"/>
      <c r="O5" s="1082" t="str">
        <f>ROUND('Damage Calc'!$J$13+'Damage Calc'!$J$14+'Damage Calc'!$J$15+'Damage Calc'!$J$9,2)&amp;"  "</f>
        <v xml:space="preserve">106.4  </v>
      </c>
      <c r="P5" s="1535" t="str">
        <f>ROUND(('Damage Calc'!$J$13+'Damage Calc'!$J$14+'Damage Calc'!$J$15+'Damage Calc'!$J$9)/'Damage Calc'!$J$16*100,0)&amp;"%  "</f>
        <v xml:space="preserve">7%  </v>
      </c>
      <c r="Q5" s="1536"/>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455" t="s">
        <v>2317</v>
      </c>
      <c r="J6" s="1456"/>
      <c r="K6" s="1457"/>
      <c r="L6" s="1017">
        <f>sndup</f>
        <v>0.9966666666666667</v>
      </c>
      <c r="M6" s="1539" t="s">
        <v>2322</v>
      </c>
      <c r="N6" s="1540"/>
      <c r="O6" s="1009" t="str">
        <f>ROUND('Damage Calc'!$J$16,2)&amp;"  "</f>
        <v xml:space="preserve">1555.18  </v>
      </c>
      <c r="P6" s="1537" t="str">
        <f>"100%  "</f>
        <v xml:space="preserve">100%  </v>
      </c>
      <c r="Q6" s="1538"/>
    </row>
    <row r="7" spans="1:26" ht="12.75" customHeight="1">
      <c r="A7" s="1503"/>
      <c r="B7" s="1504"/>
      <c r="C7" s="1504"/>
      <c r="D7" s="1505"/>
      <c r="E7" s="1011" t="s">
        <v>633</v>
      </c>
      <c r="F7" s="1012">
        <f>bMHpar</f>
        <v>0</v>
      </c>
      <c r="G7" s="1081" t="s">
        <v>2167</v>
      </c>
      <c r="H7" s="1012">
        <f>MAX(5%+0.2%*(CharLevel-BossLevel)+(ROUNDDOWN('Gear &amp; Buffs'!M143/defrating_def,0)*0.04/100),0%)</f>
        <v>4.4000000000000004E-2</v>
      </c>
      <c r="I7" s="1484" t="s">
        <v>2318</v>
      </c>
      <c r="J7" s="1481"/>
      <c r="K7" s="1482"/>
      <c r="L7" s="1022">
        <f>ruptup</f>
        <v>0.98</v>
      </c>
      <c r="M7" s="1509" t="s">
        <v>2323</v>
      </c>
      <c r="N7" s="1510"/>
      <c r="O7" s="1010" t="str">
        <f>ROUND('Gear &amp; Buffs'!$C$7,2)&amp;"  "</f>
        <v xml:space="preserve">1555.18  </v>
      </c>
      <c r="P7" s="1543"/>
      <c r="Q7" s="1544"/>
    </row>
    <row r="8" spans="1:26" ht="12.75" customHeight="1" thickBot="1">
      <c r="A8" s="1506"/>
      <c r="B8" s="1507"/>
      <c r="C8" s="1507"/>
      <c r="D8" s="1508"/>
      <c r="E8" s="1013" t="s">
        <v>597</v>
      </c>
      <c r="F8" s="1078">
        <f>'Damage Calc'!$Q$42</f>
        <v>4010</v>
      </c>
      <c r="G8" s="1013" t="s">
        <v>2166</v>
      </c>
      <c r="H8" s="1014">
        <f>H3+H6+H7</f>
        <v>0.4699331406016829</v>
      </c>
      <c r="I8" s="1557" t="s">
        <v>1177</v>
      </c>
      <c r="J8" s="1558"/>
      <c r="K8" s="1559"/>
      <c r="L8" s="1079">
        <f>B3*0.71</f>
        <v>1104.1795964818443</v>
      </c>
      <c r="M8" s="1511" t="s">
        <v>2265</v>
      </c>
      <c r="N8" s="1512"/>
      <c r="O8" s="1025" t="str">
        <f>ROUND($O$6-'Gear &amp; Buffs'!$C$7,2)&amp;"  "</f>
        <v xml:space="preserve">0  </v>
      </c>
      <c r="P8" s="1541" t="str">
        <f>IF(($B$6/$B$3)&lt;0,ROUND($B$6/$B$3*100,2)&amp;"%  ","+"&amp;ROUND($B$6/$B$3*100,2)&amp;"%  ")</f>
        <v xml:space="preserve">+0%  </v>
      </c>
      <c r="Q8" s="154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547" t="s">
        <v>182</v>
      </c>
      <c r="E11" s="1547">
        <v>1</v>
      </c>
      <c r="F11" s="1547"/>
      <c r="G11" s="990"/>
      <c r="H11" s="990"/>
      <c r="I11" s="991"/>
      <c r="J11"/>
      <c r="K11" s="1003"/>
      <c r="L11" s="995"/>
      <c r="M11" s="995"/>
      <c r="N11" s="995"/>
      <c r="O11" s="1004"/>
      <c r="S11"/>
      <c r="T11"/>
      <c r="U11"/>
      <c r="V11"/>
      <c r="W11"/>
      <c r="X11"/>
      <c r="Y11"/>
      <c r="Z11"/>
    </row>
    <row r="12" spans="1:26" ht="21.75" customHeight="1" thickBot="1">
      <c r="A12" s="1501" t="s">
        <v>2145</v>
      </c>
      <c r="B12" s="1502"/>
      <c r="C12" s="1502"/>
      <c r="D12" s="1545" t="s">
        <v>2146</v>
      </c>
      <c r="E12" s="1502"/>
      <c r="F12" s="1502"/>
      <c r="G12" s="1545" t="s">
        <v>248</v>
      </c>
      <c r="H12" s="1502"/>
      <c r="I12" s="1546"/>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554" t="s">
        <v>880</v>
      </c>
      <c r="L13" s="1555"/>
      <c r="M13" s="1555"/>
      <c r="N13" s="1555">
        <v>1</v>
      </c>
      <c r="O13" s="1556"/>
      <c r="Q13" s="1548" t="s">
        <v>881</v>
      </c>
      <c r="R13" s="1549"/>
      <c r="S13" s="1549"/>
      <c r="T13" s="1549"/>
      <c r="U13" s="1549"/>
      <c r="V13" s="1550"/>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551" t="s">
        <v>308</v>
      </c>
      <c r="L22" s="1552"/>
      <c r="M22" s="1552"/>
      <c r="N22" s="1552"/>
      <c r="O22" s="1553"/>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528" t="s">
        <v>1440</v>
      </c>
      <c r="B39" s="1529"/>
      <c r="C39" s="494">
        <f>CharLevel-9-I39</f>
        <v>0</v>
      </c>
      <c r="D39" s="999"/>
      <c r="E39" s="999"/>
      <c r="F39" s="999"/>
      <c r="G39" s="1533" t="s">
        <v>410</v>
      </c>
      <c r="H39" s="1534"/>
      <c r="I39" s="495">
        <f>C38+F38+I38</f>
        <v>61</v>
      </c>
    </row>
    <row r="40" spans="1:18" ht="13.5" thickBot="1">
      <c r="A40" s="167"/>
      <c r="B40" s="167"/>
      <c r="C40" s="167"/>
      <c r="D40" s="167"/>
      <c r="E40" s="167"/>
      <c r="F40" s="167"/>
      <c r="G40" s="167"/>
      <c r="H40" s="167"/>
      <c r="I40" s="167"/>
    </row>
    <row r="41" spans="1:18" ht="13.5" thickBot="1">
      <c r="A41" s="1530" t="s">
        <v>762</v>
      </c>
      <c r="B41" s="1531"/>
      <c r="C41" s="1531"/>
      <c r="D41" s="1531"/>
      <c r="E41" s="1531"/>
      <c r="F41" s="1531"/>
      <c r="G41" s="1532"/>
      <c r="H41" s="64"/>
      <c r="I41" s="64"/>
      <c r="J41" s="64"/>
    </row>
    <row r="42" spans="1:18" ht="13.5" thickBot="1">
      <c r="A42" s="1487" t="s">
        <v>3040</v>
      </c>
      <c r="B42" s="1488"/>
      <c r="C42" s="1488"/>
      <c r="D42" s="1488"/>
      <c r="E42" s="1488"/>
      <c r="F42" s="1488"/>
      <c r="G42" s="1489"/>
      <c r="H42" s="64"/>
      <c r="I42" s="64"/>
      <c r="J42" s="64"/>
    </row>
    <row r="43" spans="1:18">
      <c r="A43" s="1037"/>
      <c r="B43" s="1485"/>
      <c r="C43" s="1485"/>
      <c r="D43" s="501"/>
      <c r="E43" s="501"/>
      <c r="F43" s="501"/>
      <c r="G43" s="502"/>
      <c r="H43" s="64"/>
      <c r="I43" s="64"/>
      <c r="J43" s="64"/>
    </row>
    <row r="44" spans="1:18">
      <c r="A44" s="1038"/>
      <c r="B44" s="1486"/>
      <c r="C44" s="1486"/>
      <c r="D44" s="499"/>
      <c r="E44" s="499"/>
      <c r="F44" s="499"/>
      <c r="G44" s="500"/>
      <c r="H44" s="64"/>
      <c r="I44" s="64"/>
      <c r="J44" s="64"/>
    </row>
    <row r="45" spans="1:18">
      <c r="A45" s="1029"/>
      <c r="B45" s="1523" t="s">
        <v>863</v>
      </c>
      <c r="C45" s="1525"/>
      <c r="D45" s="1523" t="s">
        <v>862</v>
      </c>
      <c r="E45" s="1524"/>
      <c r="F45" s="1523" t="s">
        <v>861</v>
      </c>
      <c r="G45" s="152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87" t="s">
        <v>771</v>
      </c>
      <c r="B54" s="1488"/>
      <c r="C54" s="1488"/>
      <c r="D54" s="1488"/>
      <c r="E54" s="1488"/>
      <c r="F54" s="1489"/>
      <c r="H54" s="64"/>
      <c r="I54" s="64"/>
      <c r="J54" s="64"/>
      <c r="K54" s="64"/>
      <c r="L54" s="64"/>
      <c r="P54" s="64"/>
      <c r="Q54" s="64"/>
    </row>
    <row r="55" spans="1:25">
      <c r="A55" s="1526" t="s">
        <v>772</v>
      </c>
      <c r="B55" s="1527"/>
      <c r="C55" s="1095">
        <v>0</v>
      </c>
      <c r="D55" s="1083" t="s">
        <v>773</v>
      </c>
      <c r="E55" s="1084"/>
      <c r="F55" s="1098">
        <v>13</v>
      </c>
      <c r="H55" s="64"/>
      <c r="I55" s="64"/>
      <c r="J55" s="64"/>
      <c r="K55" s="64"/>
      <c r="L55" s="64"/>
      <c r="P55" s="64"/>
      <c r="Q55" s="64"/>
    </row>
    <row r="56" spans="1:25">
      <c r="A56" s="1521" t="s">
        <v>774</v>
      </c>
      <c r="B56" s="1522"/>
      <c r="C56" s="1096">
        <v>0</v>
      </c>
      <c r="D56" s="1085" t="s">
        <v>775</v>
      </c>
      <c r="E56" s="1086"/>
      <c r="F56" s="1097">
        <v>8</v>
      </c>
      <c r="H56" s="64"/>
      <c r="I56" s="64"/>
      <c r="J56" s="64"/>
      <c r="K56" s="64"/>
      <c r="L56" s="64"/>
      <c r="O56" s="167"/>
      <c r="P56" s="64"/>
      <c r="Q56" s="64"/>
    </row>
    <row r="57" spans="1:25">
      <c r="A57" s="1521" t="s">
        <v>776</v>
      </c>
      <c r="B57" s="1522"/>
      <c r="C57" s="1097">
        <v>0</v>
      </c>
      <c r="D57" s="1085" t="s">
        <v>777</v>
      </c>
      <c r="E57" s="1086"/>
      <c r="F57" s="1097">
        <v>8</v>
      </c>
      <c r="K57" s="64"/>
      <c r="L57" s="64"/>
      <c r="N57" s="167"/>
      <c r="O57" s="167"/>
      <c r="P57" s="64"/>
      <c r="Q57" s="64"/>
    </row>
    <row r="58" spans="1:25">
      <c r="A58" s="1521" t="s">
        <v>778</v>
      </c>
      <c r="B58" s="1522"/>
      <c r="C58" s="1097">
        <v>0</v>
      </c>
      <c r="D58" s="1085" t="s">
        <v>779</v>
      </c>
      <c r="E58" s="1086"/>
      <c r="F58" s="1097">
        <v>8</v>
      </c>
      <c r="M58" s="64"/>
      <c r="N58" s="64"/>
      <c r="O58" s="64"/>
      <c r="P58" s="64"/>
      <c r="Q58" s="64"/>
    </row>
    <row r="59" spans="1:25" ht="13.5" thickBot="1">
      <c r="A59" s="1521" t="s">
        <v>1473</v>
      </c>
      <c r="B59" s="152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19" t="s">
        <v>1537</v>
      </c>
      <c r="G1" s="1562">
        <f>'Damage Calc'!$J$16</f>
        <v>1555.182530256119</v>
      </c>
      <c r="H1" s="1562"/>
      <c r="I1" s="1563"/>
    </row>
    <row r="2" spans="2:10" ht="13.5" customHeight="1" thickBot="1">
      <c r="B2" s="1561"/>
      <c r="F2" s="1560"/>
      <c r="G2" s="1564"/>
      <c r="H2" s="1564"/>
      <c r="I2" s="1565"/>
    </row>
    <row r="3" spans="2:10">
      <c r="B3" s="888">
        <v>1</v>
      </c>
      <c r="F3" s="1008" t="s">
        <v>1136</v>
      </c>
      <c r="G3" s="1460">
        <f>'Gear &amp; Buffs'!$C$7</f>
        <v>1555.182530256119</v>
      </c>
      <c r="H3" s="1460"/>
      <c r="I3" s="1461"/>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A52" sqref="A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2.5784731215973284</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570.51064106310048</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16.158312420109564</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7" t="s">
        <v>1543</v>
      </c>
      <c r="W4" s="1178"/>
      <c r="X4" s="1182">
        <f>VLOOKUP($X$2,CHOOSE({1,2},AG56:AG284,D56:D284),2,FALSE)/VLOOKUP($X$2,CHOOSE({1,2},AG56:AG284,Q56:Q284),2,FALSE)</f>
        <v>6.1887651012086285E-2</v>
      </c>
      <c r="Y4" s="1182">
        <f>IF($W$15&gt;1, X4/$W$15, X4)</f>
        <v>6.1887651012086285E-2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7" t="s">
        <v>1545</v>
      </c>
      <c r="W5" s="1178"/>
      <c r="X5" s="1182">
        <f>VLOOKUP($X$2,CHOOSE({1,2},AG56:AG284,I56:I284),2,FALSE)/VLOOKUP($X$2,CHOOSE({1,2},AG56:AG284,Q56:Q284),2,FALSE)+IF(arush,IF(time=0,MIN(1,150/(instcost*N43+evicost))*5/300,MIN(1,totalARTicks*10/(instcost*N43+evicost))*5/time),0)</f>
        <v>0.30886886428081306</v>
      </c>
      <c r="Y5" s="1182">
        <f>IF($W$15&gt;1, X5/$W$15, X5)</f>
        <v>0.30886886428081306</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7" t="s">
        <v>1546</v>
      </c>
      <c r="W6" s="1178"/>
      <c r="X6" s="1179">
        <f>IF(VLOOKUP($X$2,CHOOSE({1,2},AG56:AG284,AB56:AB284),2,FALSE)&gt;0,VLOOKUP($X$2,CHOOSE({1,2},AG56:AG284,AB56:AB284),2,FALSE)/VLOOKUP($X$2,CHOOSE({1,2},AG56:AG284,E56:E284),2,FALSE),F24)</f>
        <v>1459.2710844590233</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7" t="s">
        <v>1548</v>
      </c>
      <c r="W7" s="1178"/>
      <c r="X7" s="1179">
        <f>VLOOKUP($X$2,CHOOSE({1,2},AG56:AG284,AA56:AA284),2,FALSE)</f>
        <v>1759.7269451999114</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4" t="s">
        <v>1549</v>
      </c>
      <c r="W8" s="1178"/>
      <c r="X8" s="1179">
        <f>VLOOKUP($X$2,CHOOSE({1,2},AG56:AG284,Z56:Z284),2,FALSE)</f>
        <v>2869.3780204034333</v>
      </c>
      <c r="Y8" s="1179">
        <f>X8/$Z$3</f>
        <v>177.57906554847867</v>
      </c>
      <c r="Z8" s="1179"/>
      <c r="AA8" s="1178"/>
      <c r="AB8" s="1181"/>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6.1887651012086285E-2</v>
      </c>
      <c r="AB13" s="1182">
        <f>IF($W$15&gt;1, AA13/$W$15, AA13)</f>
        <v>6.1887651012086285E-2</v>
      </c>
      <c r="AE13" s="197"/>
    </row>
    <row r="14" spans="2:31">
      <c r="B14" s="207" t="s">
        <v>126</v>
      </c>
      <c r="C14">
        <v>2</v>
      </c>
      <c r="D14" s="25">
        <f>(6+3*C14+3*nb2p)*(1+0.15*isnd)</f>
        <v>21.75</v>
      </c>
      <c r="E14" s="397">
        <f>25-(5*relent*C14)-(25*C3)</f>
        <v>15</v>
      </c>
      <c r="F14" s="374" t="s">
        <v>322</v>
      </c>
      <c r="G14" s="389"/>
      <c r="H14" s="1579" t="s">
        <v>319</v>
      </c>
      <c r="I14" s="1580"/>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7" t="s">
        <v>323</v>
      </c>
      <c r="I15" s="1578"/>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0.43500579418954538</v>
      </c>
      <c r="X15" s="1182">
        <f>envsec+easec+evisec+rupsec+sndsec+instsec</f>
        <v>0.43500579418954544</v>
      </c>
      <c r="Y15" s="1191"/>
      <c r="Z15" s="1191"/>
      <c r="AA15" s="1191"/>
      <c r="AB15" s="1191"/>
      <c r="AE15" s="197"/>
    </row>
    <row r="16" spans="2:31">
      <c r="B16" s="207" t="s">
        <v>126</v>
      </c>
      <c r="C16">
        <v>4</v>
      </c>
      <c r="D16" s="25">
        <f>(6+3*C16+3*nb2p)*(1+0.15*isnd)</f>
        <v>30.45</v>
      </c>
      <c r="E16" s="397">
        <f>25-(5*relent*C16)-(25*C5)</f>
        <v>5</v>
      </c>
      <c r="F16" s="374" t="s">
        <v>322</v>
      </c>
      <c r="G16" s="389"/>
      <c r="H16" s="1574"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75"/>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76"/>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66" t="s">
        <v>329</v>
      </c>
      <c r="I20" s="1566"/>
      <c r="J20" s="1566"/>
      <c r="K20" s="1566"/>
      <c r="L20" s="1566"/>
      <c r="M20" s="1566"/>
      <c r="N20" s="1566"/>
      <c r="P20" s="1566" t="s">
        <v>330</v>
      </c>
      <c r="Q20" s="1566"/>
      <c r="R20" s="1566"/>
      <c r="S20" s="1566"/>
      <c r="T20" s="1566"/>
      <c r="U20" s="1566"/>
      <c r="V20" s="1566"/>
      <c r="AE20" s="197"/>
    </row>
    <row r="21" spans="2:31" ht="18" customHeight="1">
      <c r="B21" s="207" t="s">
        <v>128</v>
      </c>
      <c r="C21">
        <v>2</v>
      </c>
      <c r="D21" s="402" t="s">
        <v>322</v>
      </c>
      <c r="E21" s="397">
        <f>$O$4-(5*relent*C21)-(35*E3)</f>
        <v>25</v>
      </c>
      <c r="F21" s="397">
        <f>(($S$3+$S$4*C21+ap*0.03*C21)*$O$5+IF(AND(Hemorrhage=1,OR(Talents!O25="No",instatk&lt;&gt;"HEMO")),42*HDebuff,0))*$K$4*$P$5</f>
        <v>652.8395626965472</v>
      </c>
      <c r="H21" s="1567"/>
      <c r="I21" s="1567"/>
      <c r="J21" s="1567"/>
      <c r="K21" s="1567"/>
      <c r="L21" s="1567"/>
      <c r="M21" s="1567"/>
      <c r="N21" s="1567"/>
      <c r="P21" s="1567"/>
      <c r="Q21" s="1567"/>
      <c r="R21" s="1567"/>
      <c r="S21" s="1567"/>
      <c r="T21" s="1567"/>
      <c r="U21" s="1567"/>
      <c r="V21" s="1567"/>
      <c r="AE21" s="197"/>
    </row>
    <row r="22" spans="2:31">
      <c r="B22" s="207" t="s">
        <v>128</v>
      </c>
      <c r="C22">
        <v>3</v>
      </c>
      <c r="D22" s="402" t="s">
        <v>322</v>
      </c>
      <c r="E22" s="397">
        <f>$O$4-(5*relent*C22)-(35*E4)</f>
        <v>20</v>
      </c>
      <c r="F22" s="397">
        <f>(($S$3+$S$4*C22+ap*0.03*C22)*$O$5+IF(AND(Hemorrhage=1,OR(Talents!O25="No",instatk&lt;&gt;"HEMO")),42*HDebuff,0))*$K$4*$P$5</f>
        <v>921.65006995070587</v>
      </c>
      <c r="G22" s="398"/>
      <c r="H22" s="1568" t="s">
        <v>319</v>
      </c>
      <c r="I22" s="1569"/>
      <c r="J22" s="1288">
        <v>1</v>
      </c>
      <c r="K22" s="1289">
        <v>2</v>
      </c>
      <c r="L22" s="1289">
        <v>3</v>
      </c>
      <c r="M22" s="1289">
        <v>4</v>
      </c>
      <c r="N22" s="1290">
        <v>5</v>
      </c>
      <c r="P22" s="1568" t="s">
        <v>319</v>
      </c>
      <c r="Q22" s="1569"/>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1" t="s">
        <v>331</v>
      </c>
      <c r="I23" s="1582"/>
      <c r="J23" s="1193"/>
      <c r="K23" s="1194"/>
      <c r="L23" s="1194"/>
      <c r="M23" s="1194"/>
      <c r="N23" s="1195"/>
      <c r="P23" s="1570" t="s">
        <v>331</v>
      </c>
      <c r="Q23" s="1571"/>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1459.2710844590233</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450.62115753331858</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776.55289383329648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1187.7952088999336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1462.7610770499225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1759.7269451999114</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394.85850700419155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200">
        <v>3</v>
      </c>
      <c r="I36" s="1201">
        <v>3</v>
      </c>
      <c r="J36" s="1218">
        <v>0</v>
      </c>
      <c r="K36" s="1223">
        <v>0</v>
      </c>
      <c r="L36" s="1217">
        <f>L32*(1-$Q$46)</f>
        <v>0.39999999999999991</v>
      </c>
      <c r="M36" s="1203">
        <f>M32*(1-$Q$46)</f>
        <v>0.39999999999999991</v>
      </c>
      <c r="N36" s="1204">
        <f>N32*(1-$Q$46)</f>
        <v>0.39999999999999991</v>
      </c>
      <c r="P36" s="1572" t="s">
        <v>323</v>
      </c>
      <c r="Q36" s="1573"/>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200">
        <v>4</v>
      </c>
      <c r="I37" s="1201">
        <v>3</v>
      </c>
      <c r="J37" s="1218">
        <v>0</v>
      </c>
      <c r="K37" s="1223">
        <v>0</v>
      </c>
      <c r="L37" s="1217">
        <f>L32*$Q$46</f>
        <v>0</v>
      </c>
      <c r="M37" s="1217">
        <f>M32*$Q$46+M33*(1-$Q$46)</f>
        <v>0.60000000000000009</v>
      </c>
      <c r="N37" s="1204">
        <f>N32*$Q$46+N33*(1-$Q$46)</f>
        <v>0.60000000000000009</v>
      </c>
      <c r="P37" s="1574"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1974.2925350209578</v>
      </c>
      <c r="H38" s="1206">
        <v>5</v>
      </c>
      <c r="I38" s="1207">
        <v>3</v>
      </c>
      <c r="J38" s="1219">
        <v>0</v>
      </c>
      <c r="K38" s="1220">
        <v>0</v>
      </c>
      <c r="L38" s="1220">
        <v>0</v>
      </c>
      <c r="M38" s="1209">
        <f>M33*$Q$46</f>
        <v>0</v>
      </c>
      <c r="N38" s="1224">
        <f>N33*$Q$46+N34</f>
        <v>0</v>
      </c>
      <c r="P38" s="1575"/>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76"/>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86" t="s">
        <v>323</v>
      </c>
      <c r="I43" s="158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75"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75"/>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76"/>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91" t="s">
        <v>3103</v>
      </c>
      <c r="N51" s="1591"/>
    </row>
    <row r="52" spans="2:43" ht="30">
      <c r="B52" s="1366" t="s">
        <v>338</v>
      </c>
      <c r="C52" s="1366"/>
      <c r="D52" s="1366"/>
      <c r="E52" s="1366"/>
      <c r="F52" s="1366"/>
      <c r="G52" s="1366"/>
      <c r="H52" s="1366"/>
      <c r="I52" s="1367" t="s">
        <v>1537</v>
      </c>
      <c r="J52" s="1368">
        <f>'Damage Calc'!$J$16</f>
        <v>1555.182530256119</v>
      </c>
      <c r="K52" s="1367"/>
      <c r="L52" s="1369">
        <f>'Gear &amp; Buffs'!$C$7</f>
        <v>1555.182530256119</v>
      </c>
      <c r="M52" s="1590" t="str">
        <f>ROUNDUP(J52-L52,2)&amp;" ("&amp;ROUNDUP((J52-L52)/J52,2)&amp;"%)"</f>
        <v>0 (0%)</v>
      </c>
      <c r="N52" s="1590"/>
    </row>
    <row r="53" spans="2:43">
      <c r="B53" s="1583" t="s">
        <v>1024</v>
      </c>
      <c r="C53" s="1584" t="s">
        <v>339</v>
      </c>
      <c r="D53" s="1584"/>
      <c r="E53" s="1584"/>
      <c r="F53" s="1584"/>
      <c r="G53" s="1584"/>
      <c r="H53" s="1584"/>
      <c r="I53" s="420" t="s">
        <v>340</v>
      </c>
      <c r="J53" s="1584" t="s">
        <v>341</v>
      </c>
      <c r="K53" s="1584"/>
      <c r="L53" s="1584"/>
      <c r="M53" s="421" t="s">
        <v>922</v>
      </c>
      <c r="N53" s="1584" t="s">
        <v>342</v>
      </c>
      <c r="O53" s="1584"/>
      <c r="P53" s="1584"/>
      <c r="Q53" s="1584"/>
      <c r="R53" s="1584" t="s">
        <v>3025</v>
      </c>
      <c r="S53" s="1584"/>
      <c r="T53" s="1584"/>
      <c r="U53" s="1584" t="s">
        <v>343</v>
      </c>
      <c r="V53" s="1584"/>
      <c r="W53" s="1584"/>
      <c r="X53" s="419" t="s">
        <v>321</v>
      </c>
      <c r="Y53" s="1584" t="s">
        <v>318</v>
      </c>
      <c r="Z53" s="1584"/>
      <c r="AA53" s="1584"/>
      <c r="AB53" s="1584"/>
      <c r="AC53" s="1584"/>
      <c r="AD53" s="1584"/>
      <c r="AE53" s="1584"/>
      <c r="AF53" s="1584"/>
      <c r="AG53" s="1589" t="s">
        <v>1537</v>
      </c>
      <c r="AH53" s="1585" t="s">
        <v>344</v>
      </c>
      <c r="AI53" s="1585"/>
      <c r="AJ53" s="1585"/>
      <c r="AK53" s="1588" t="s">
        <v>345</v>
      </c>
      <c r="AP53">
        <v>1</v>
      </c>
      <c r="AQ53" s="905" t="s">
        <v>3031</v>
      </c>
    </row>
    <row r="54" spans="2:43">
      <c r="B54" s="1583"/>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89"/>
      <c r="AH54" s="422" t="s">
        <v>126</v>
      </c>
      <c r="AI54" s="422" t="s">
        <v>346</v>
      </c>
      <c r="AJ54" s="1374" t="s">
        <v>332</v>
      </c>
      <c r="AK54" s="158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9">
        <v>0</v>
      </c>
      <c r="S57" s="1309">
        <f>(I57+1-$J$15)*$O$2+D57*$O$3</f>
        <v>105.32653061224489</v>
      </c>
      <c r="T57" s="1309">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9">
        <v>0</v>
      </c>
      <c r="S58" s="1309">
        <f>(I58+1-$J$15)*$O$2+D58*$O$3</f>
        <v>145.48979591836735</v>
      </c>
      <c r="T58" s="1309">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9">
        <v>0</v>
      </c>
      <c r="S59" s="1309">
        <f>(I59+1-$J$15)*$O$2+D59*$O$3</f>
        <v>185.65306122448979</v>
      </c>
      <c r="T59" s="1309">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9">
        <v>0</v>
      </c>
      <c r="S60" s="1309">
        <f>(I60+1-$J$15)*$O$2+D60*$O$3</f>
        <v>225.81632653061223</v>
      </c>
      <c r="T60" s="1309">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9">
        <f>(K$15+1-$J$15)*$O$2+25</f>
        <v>105.32653061224489</v>
      </c>
      <c r="S62" s="1309">
        <f>(I62+1-$J$15)*$O$2+C62*$E$14+D62*$O$3</f>
        <v>216.71836734693878</v>
      </c>
      <c r="T62" s="1309">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9">
        <f>(L$15+1-$J$15)*$O$2+25</f>
        <v>145.48979591836735</v>
      </c>
      <c r="S63" s="1309">
        <f>(I63+1-$J$15)*$O$2+C63*$E$15+D63*$O$3</f>
        <v>251.88163265306122</v>
      </c>
      <c r="T63" s="1309">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9">
        <f>(M$15+1-$J$15)*$O$2+25</f>
        <v>185.65306122448979</v>
      </c>
      <c r="S64" s="1309">
        <f>(I64+1-$J$15)*$O$2+C64*$E$16+D64*$O$3</f>
        <v>287.04489795918369</v>
      </c>
      <c r="T64" s="1309">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9">
        <f>(N$15+1-$J$15)*$O$2+25</f>
        <v>225.81632653061223</v>
      </c>
      <c r="S65" s="1309">
        <f>(I65+1-$J$15)*$O$2+C65*$E$17+D65*$O$3</f>
        <v>322.2081632653061</v>
      </c>
      <c r="T65" s="1309">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9">
        <f>(K$15+1-$J$15)*$O$2+C67*25</f>
        <v>105.32653061224489</v>
      </c>
      <c r="S67" s="1309">
        <f>(I67+1-$J$15)*$O$2+C67*$E$14+D67*$O$3</f>
        <v>256.88163265306122</v>
      </c>
      <c r="T67" s="1309">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9">
        <f>(L$15+1-$J$15)*$O$2+C68*25</f>
        <v>145.48979591836735</v>
      </c>
      <c r="S68" s="1309">
        <f>(I68+1-$J$15)*$O$2+C68*$E$15+D68*$O$3</f>
        <v>292.04489795918369</v>
      </c>
      <c r="T68" s="1309">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9">
        <f>(M$15+1-$J$15)*$O$2+C69*25</f>
        <v>185.65306122448979</v>
      </c>
      <c r="S69" s="1309">
        <f>(I69+1-$J$15)*$O$2+C69*$E$16+D69*$O$3</f>
        <v>327.2081632653061</v>
      </c>
      <c r="T69" s="1309">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9">
        <f>(N$15+1-$J$15)*$O$2+C70*25</f>
        <v>225.81632653061223</v>
      </c>
      <c r="S70" s="1309">
        <f>(I70+1-$J$15)*$O$2+C70*$E$17+D70*$O$3</f>
        <v>362.37142857142857</v>
      </c>
      <c r="T70" s="1309">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9">
        <f>(J$15+1-$J$15)*$O$2+C71*25</f>
        <v>65.16326530612244</v>
      </c>
      <c r="S71" s="1309">
        <f>(I71+1-$J$15)*$O$2+C71*$E$13+D71*$O$3</f>
        <v>261.88163265306122</v>
      </c>
      <c r="T71" s="1309">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9">
        <f>(K$15+1-$J$15)*$O$2+C72*25</f>
        <v>105.32653061224489</v>
      </c>
      <c r="S72" s="1309">
        <f>(I72+1-$J$15)*$O$2+C72*$E$14+D72*$O$3</f>
        <v>297.04489795918369</v>
      </c>
      <c r="T72" s="1309">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9">
        <f>(L$15+1-$J$15)*$O$2+C73*25</f>
        <v>145.48979591836735</v>
      </c>
      <c r="S73" s="1309">
        <f>(I73+1-$J$15)*$O$2+C73*$E$15+D73*$O$3</f>
        <v>332.2081632653061</v>
      </c>
      <c r="T73" s="1309">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9">
        <f>(M$15+1-$J$15)*$O$2+C74*25</f>
        <v>185.65306122448979</v>
      </c>
      <c r="S74" s="1309">
        <f>(I74+1-$J$15)*$O$2+C74*$E$16+D74*$O$3</f>
        <v>367.37142857142857</v>
      </c>
      <c r="T74" s="1309">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9">
        <f>(N$15+1-$J$15)*$O$2+C75*25</f>
        <v>225.81632653061223</v>
      </c>
      <c r="S75" s="1309">
        <f>(I75+1-$J$15)*$O$2+C75*$E$17+D75*$O$3</f>
        <v>402.53469387755104</v>
      </c>
      <c r="T75" s="1309">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9">
        <f>(J$15+1-$J$15)*$O$2+25</f>
        <v>65.16326530612244</v>
      </c>
      <c r="S76" s="1309">
        <f>(I76+1-$J$15)*$O$2+$E$13+$E$16+D76*$O$3</f>
        <v>323.11020408163262</v>
      </c>
      <c r="T76" s="1309">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9">
        <f>(K$15+1-$J$15)*$O$2+25</f>
        <v>105.32653061224489</v>
      </c>
      <c r="S77" s="1309">
        <f>(I77+1-$J$15)*$O$2+$E$14+$E$16+D77*$O$3</f>
        <v>358.27346938775503</v>
      </c>
      <c r="T77" s="1309">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9">
        <f>(J$15+1-$J$15)*$O$2+25</f>
        <v>65.16326530612244</v>
      </c>
      <c r="S78" s="1309">
        <f>(I78+1-$J$15)*$O$2+$E$13+$E$16+D78*$O$3</f>
        <v>363.27346938775503</v>
      </c>
      <c r="T78" s="1309">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9">
        <f>(K$15+1-$J$15)*$O$2+25</f>
        <v>105.32653061224489</v>
      </c>
      <c r="S79" s="1309">
        <f>(I79+1-$J$15)*$O$2+$E$14+$E$16+D79*$O$3</f>
        <v>398.4367346938775</v>
      </c>
      <c r="T79" s="1309">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9">
        <f>(J$15+1-$J$15)*$O$2+25</f>
        <v>65.16326530612244</v>
      </c>
      <c r="S80" s="1309">
        <f>(I80+1-$J$15)*$O$2+$E$13+$E$16+D80*$O$3</f>
        <v>403.4367346938775</v>
      </c>
      <c r="T80" s="1309">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9">
        <f>(K$15+1-$J$15)*$O$2+25</f>
        <v>105.32653061224489</v>
      </c>
      <c r="S81" s="1309">
        <f>(I81+1-$J$15)*$O$2+$E$14+$E$16+D81*$O$3</f>
        <v>438.59999999999997</v>
      </c>
      <c r="T81" s="1309">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9">
        <f>(J$15+1-$J$15)*$O$2+25</f>
        <v>65.16326530612244</v>
      </c>
      <c r="S82" s="1309">
        <f>(I82+1-$J$15)*$O$2+$E$13+$E$17+D82*$O$3</f>
        <v>358.27346938775514</v>
      </c>
      <c r="T82" s="1309">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9">
        <f>(K$15+1-$J$15)*$O$2+25</f>
        <v>105.32653061224489</v>
      </c>
      <c r="S83" s="1309">
        <f>(I83+1-$J$15)*$O$2+$E$14+$E$17+D83*$O$3</f>
        <v>393.43673469387755</v>
      </c>
      <c r="T83" s="1309">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9">
        <f>(L$15+1-$J$15)*$O$2+25</f>
        <v>145.48979591836735</v>
      </c>
      <c r="S84" s="1309">
        <f>(I84+1-$J$15)*$O$2+$E$15+$E$17+D84*$O$3</f>
        <v>428.6</v>
      </c>
      <c r="T84" s="1309">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9">
        <f>(J$15+1-$J$15)*$O$2+25</f>
        <v>65.16326530612244</v>
      </c>
      <c r="S85" s="1309">
        <f>(I85+1-$J$15)*$O$2+$E$13+$E$17+D85*$O$3</f>
        <v>398.43673469387755</v>
      </c>
      <c r="T85" s="1309">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9">
        <f>(K$15+1-$J$15)*$O$2+25</f>
        <v>105.32653061224489</v>
      </c>
      <c r="S86" s="1309">
        <f>(I86+1-$J$15)*$O$2+$E$14+$E$17+D86*$O$3</f>
        <v>433.6</v>
      </c>
      <c r="T86" s="1309">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9">
        <f>(L$15+1-$J$15)*$O$2+25</f>
        <v>145.48979591836735</v>
      </c>
      <c r="S87" s="1309">
        <f>(I87+1-$J$15)*$O$2+$E$15+$E$17+D87*$O$3</f>
        <v>468.76326530612243</v>
      </c>
      <c r="T87" s="1309">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9">
        <f>(J$15+1-$J$15)*$O$2+25</f>
        <v>65.16326530612244</v>
      </c>
      <c r="S88" s="1309">
        <f>(I88+1-$J$15)*$O$2+$E$13+$E$17+D88*$O$3</f>
        <v>438.6</v>
      </c>
      <c r="T88" s="1309">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9">
        <f>(K$15+1-$J$15)*$O$2+25</f>
        <v>105.32653061224489</v>
      </c>
      <c r="S89" s="1309">
        <f>(I89+1-$J$15)*$O$2+$E$14+$E$17+D89*$O$3</f>
        <v>473.76326530612243</v>
      </c>
      <c r="T89" s="1309">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9">
        <f>(L$15+1-$J$15)*$O$2+25</f>
        <v>145.48979591836735</v>
      </c>
      <c r="S90" s="1309">
        <f>(I90+1-$J$15)*$O$2+$E$15+$E$17+D90*$O$3</f>
        <v>508.9265306122449</v>
      </c>
      <c r="T90" s="1309">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9">
        <f>(J$15+1-$J$15)*$O$2+25</f>
        <v>65.16326530612244</v>
      </c>
      <c r="S91" s="1309">
        <f>(J$15+L$15+1-$J$15)*$O$2+$E$13+D91*$O$3</f>
        <v>181.55510204081631</v>
      </c>
      <c r="T91" s="1309">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9">
        <f>(K$15+1-$J$15)*$O$2+25</f>
        <v>105.32653061224489</v>
      </c>
      <c r="S92" s="1309">
        <f>(K$15+L$15+1-$J$15)*$O$2+$E$14+D92*$O$3</f>
        <v>216.71836734693878</v>
      </c>
      <c r="T92" s="1309">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9">
        <f>(L$15+1-$J$15)*$O$2+25</f>
        <v>145.48979591836735</v>
      </c>
      <c r="S93" s="1309">
        <f>(L$15+L$15+1-$J$15)*$O$2+$E$15+D93*$O$3</f>
        <v>251.88163265306122</v>
      </c>
      <c r="T93" s="1309">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9">
        <f>(M$15+1-$J$15)*$O$2+25</f>
        <v>185.65306122448979</v>
      </c>
      <c r="S94" s="1309">
        <f>(M$15+L$15+1-$J$15)*$O$2+$E$16+D94*$O$3</f>
        <v>287.04489795918369</v>
      </c>
      <c r="T94" s="1309">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9">
        <f>(N$15+1-$J$15)*$O$2+25</f>
        <v>225.81632653061223</v>
      </c>
      <c r="S95" s="1309">
        <f>(N$15+L$15+1-$J$15)*$O$2+$E$17+D95*$O$3</f>
        <v>322.2081632653061</v>
      </c>
      <c r="T95" s="1309">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9">
        <f>(J$15+1-$J$15)*$O$2+25</f>
        <v>65.16326530612244</v>
      </c>
      <c r="S96" s="1309">
        <f>(J$15+M$15+1-$J$15)*$O$2+$E$13+D96*$O$3</f>
        <v>221.71836734693878</v>
      </c>
      <c r="T96" s="1309">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9">
        <f>(K$15+1-$J$15)*$O$2+25</f>
        <v>105.32653061224489</v>
      </c>
      <c r="S97" s="1309">
        <f>(K$15+M$15+1-$J$15)*$O$2+$E$14+D97*$O$3</f>
        <v>256.88163265306122</v>
      </c>
      <c r="T97" s="1309">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9">
        <f>(L$15+1-$J$15)*$O$2+25</f>
        <v>145.48979591836735</v>
      </c>
      <c r="S98" s="1309">
        <f>(L$15+M$15+1-$J$15)*$O$2+$E$15+D98*$O$3</f>
        <v>292.04489795918369</v>
      </c>
      <c r="T98" s="1309">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9">
        <f>(M$15+1-$J$15)*$O$2+25</f>
        <v>185.65306122448979</v>
      </c>
      <c r="S99" s="1309">
        <f>(M$15+M$15+1-$J$15)*$O$2+$E$16+D99*$O$3</f>
        <v>327.2081632653061</v>
      </c>
      <c r="T99" s="1309">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9">
        <f>(N$15+1-$J$15)*$O$2+25</f>
        <v>225.81632653061223</v>
      </c>
      <c r="S100" s="1309">
        <f>(N$15+M$15+1-$J$15)*$O$2+$E$17+D100*$O$3</f>
        <v>362.37142857142857</v>
      </c>
      <c r="T100" s="1309">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9">
        <f>(J$15+1-$J$15)*$O$2+25</f>
        <v>65.16326530612244</v>
      </c>
      <c r="S101" s="1309">
        <f>(J$15+N$15+1-$J$15)*$O$2+$E$13+D101*$O$3</f>
        <v>261.88163265306122</v>
      </c>
      <c r="T101" s="1309">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9">
        <f>(K$15+1-$J$15)*$O$2+25</f>
        <v>105.32653061224489</v>
      </c>
      <c r="S102" s="1309">
        <f>(K$15+N$15+1-$J$15)*$O$2+$E$14+D102*$O$3</f>
        <v>297.04489795918369</v>
      </c>
      <c r="T102" s="1309">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9">
        <f>(L$15+1-$J$15)*$O$2+25</f>
        <v>145.48979591836735</v>
      </c>
      <c r="S103" s="1309">
        <f>(L$15+N$15+1-$J$15)*$O$2+$E$15+D103*$O$3</f>
        <v>332.2081632653061</v>
      </c>
      <c r="T103" s="1309">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9">
        <f>(M$15+1-$J$15)*$O$2+25</f>
        <v>185.65306122448979</v>
      </c>
      <c r="S104" s="1309">
        <f>(M$15+N$15+1-$J$15)*$O$2+$E$16+D104*$O$3</f>
        <v>367.37142857142857</v>
      </c>
      <c r="T104" s="1309">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9">
        <f>(N$15+1-$J$15)*$O$2+25</f>
        <v>225.81632653061223</v>
      </c>
      <c r="S105" s="1309">
        <f>(N$15+N$15+1-$J$15)*$O$2+$E$17+D105*$O$3</f>
        <v>402.53469387755104</v>
      </c>
      <c r="T105" s="1309">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9">
        <f>(J$15+1-$J$15)*$O$2+25</f>
        <v>65.16326530612244</v>
      </c>
      <c r="S106" s="1309">
        <f>(J$15+L$15+1-$J$15)*$O$2+$E$13+D106*$O$3</f>
        <v>181.55510204081631</v>
      </c>
      <c r="T106" s="1309">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9">
        <f>(K$15+1-$J$15)*$O$2+25</f>
        <v>105.32653061224489</v>
      </c>
      <c r="S107" s="1309">
        <f>(K$15+L$15+1-$J$15)*$O$2+$E$14+D107*$O$3</f>
        <v>216.71836734693878</v>
      </c>
      <c r="T107" s="1309">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9">
        <f>(L$15+1-$J$15)*$O$2+25</f>
        <v>145.48979591836735</v>
      </c>
      <c r="S108" s="1309">
        <f>(L$15+L$15+1-$J$15)*$O$2+$E$15+D108*$O$3</f>
        <v>251.88163265306122</v>
      </c>
      <c r="T108" s="1309">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9">
        <f>(M$15+1-$J$15)*$O$2+25</f>
        <v>185.65306122448979</v>
      </c>
      <c r="S109" s="1309">
        <f>(M$15+L$15+1-$J$15)*$O$2+$E$16+D109*$O$3</f>
        <v>287.04489795918369</v>
      </c>
      <c r="T109" s="1309">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9">
        <f>(N$15+1-$J$15)*$O$2+25</f>
        <v>225.81632653061223</v>
      </c>
      <c r="S110" s="1309">
        <f>(N$15+L$15+1-$J$15)*$O$2+$E$17+D110*$O$3</f>
        <v>322.2081632653061</v>
      </c>
      <c r="T110" s="1309">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9">
        <f>(J$15+1-$J$15)*$O$2+25</f>
        <v>65.16326530612244</v>
      </c>
      <c r="S111" s="1309">
        <f>(J$15+M$15+1-$J$15)*$O$2+$E$13+D111*$O$3</f>
        <v>221.71836734693878</v>
      </c>
      <c r="T111" s="1309">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9">
        <f>(K$15+1-$J$15)*$O$2+25</f>
        <v>105.32653061224489</v>
      </c>
      <c r="S112" s="1309">
        <f>(K$15+M$15+1-$J$15)*$O$2+$E$14+D112*$O$3</f>
        <v>256.88163265306122</v>
      </c>
      <c r="T112" s="1309">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9">
        <f>(L$15+1-$J$15)*$O$2+25</f>
        <v>145.48979591836735</v>
      </c>
      <c r="S113" s="1309">
        <f>(L$15+M$15+1-$J$15)*$O$2+$E$15+D113*$O$3</f>
        <v>292.04489795918369</v>
      </c>
      <c r="T113" s="1309">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9">
        <f>(M$15+1-$J$15)*$O$2+25</f>
        <v>185.65306122448979</v>
      </c>
      <c r="S114" s="1309">
        <f>(M$15+M$15+1-$J$15)*$O$2+$E$16+D114*$O$3</f>
        <v>327.2081632653061</v>
      </c>
      <c r="T114" s="1309">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9">
        <f>(N$15+1-$J$15)*$O$2+25</f>
        <v>225.81632653061223</v>
      </c>
      <c r="S115" s="1309">
        <f>(N$15+M$15+1-$J$15)*$O$2+$E$17+D115*$O$3</f>
        <v>362.37142857142857</v>
      </c>
      <c r="T115" s="1309">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9">
        <f>(J$15+1-$J$15)*$O$2+25</f>
        <v>65.16326530612244</v>
      </c>
      <c r="S116" s="1309">
        <f>(J$15+N$15+1-$J$15)*$O$2+$E$13+D116*$O$3</f>
        <v>261.88163265306122</v>
      </c>
      <c r="T116" s="1309">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9">
        <f>(K$15+1-$J$15)*$O$2+25</f>
        <v>105.32653061224489</v>
      </c>
      <c r="S117" s="1309">
        <f>(K$15+N$15+1-$J$15)*$O$2+$E$14+D117*$O$3</f>
        <v>297.04489795918369</v>
      </c>
      <c r="T117" s="1309">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9">
        <f>(L$15+1-$J$15)*$O$2+25</f>
        <v>145.48979591836735</v>
      </c>
      <c r="S118" s="1309">
        <f>(L$15+N$15+1-$J$15)*$O$2+$E$15+D118*$O$3</f>
        <v>332.2081632653061</v>
      </c>
      <c r="T118" s="1309">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9">
        <f>(M$15+1-$J$15)*$O$2+25</f>
        <v>185.65306122448979</v>
      </c>
      <c r="S119" s="1309">
        <f>(M$15+N$15+1-$J$15)*$O$2+$E$16+D119*$O$3</f>
        <v>367.37142857142857</v>
      </c>
      <c r="T119" s="1309">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9">
        <f>(N$15+1-$J$15)*$O$2+25</f>
        <v>225.81632653061223</v>
      </c>
      <c r="S120" s="1309">
        <f>(N$15+N$15+1-$J$15)*$O$2+$E$17+D120*$O$3</f>
        <v>402.53469387755104</v>
      </c>
      <c r="T120" s="1309">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9">
        <f>(J$15+1-$J$15)*$O$2+25</f>
        <v>65.16326530612244</v>
      </c>
      <c r="S121" s="1309">
        <f>(J$15+L$15+1-$J$15)*$O$2+$E$13+D121*$O$3</f>
        <v>181.55510204081631</v>
      </c>
      <c r="T121" s="1309">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9">
        <f>(K$15+1-$J$15)*$O$2+25</f>
        <v>105.32653061224489</v>
      </c>
      <c r="S122" s="1309">
        <f>(K$15+L$15+1-$J$15)*$O$2+$E$14+D122*$O$3</f>
        <v>216.71836734693878</v>
      </c>
      <c r="T122" s="1309">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9">
        <f>(L$15+1-$J$15)*$O$2+25</f>
        <v>145.48979591836735</v>
      </c>
      <c r="S123" s="1309">
        <f>(L$15+L$15+1-$J$15)*$O$2+$E$15+D123*$O$3</f>
        <v>251.88163265306122</v>
      </c>
      <c r="T123" s="1309">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9">
        <f>(M$15+1-$J$15)*$O$2+25</f>
        <v>185.65306122448979</v>
      </c>
      <c r="S124" s="1309">
        <f>(M$15+L$15+1-$J$15)*$O$2+$E$16+D124*$O$3</f>
        <v>287.04489795918369</v>
      </c>
      <c r="T124" s="1309">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9">
        <f>(N$15+1-$J$15)*$O$2+25</f>
        <v>225.81632653061223</v>
      </c>
      <c r="S125" s="1309">
        <f>(N$15+L$15+1-$J$15)*$O$2+$E$17+D125*$O$3</f>
        <v>322.2081632653061</v>
      </c>
      <c r="T125" s="1309">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9">
        <f>(J$15+1-$J$15)*$O$2+25</f>
        <v>65.16326530612244</v>
      </c>
      <c r="S126" s="1309">
        <f>(J$15+M$15+1-$J$15)*$O$2+$E$13+D126*$O$3</f>
        <v>221.71836734693878</v>
      </c>
      <c r="T126" s="1309">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9">
        <f>(K$15+1-$J$15)*$O$2+25</f>
        <v>105.32653061224489</v>
      </c>
      <c r="S127" s="1309">
        <f>(K$15+M$15+1-$J$15)*$O$2+$E$14+D127*$O$3</f>
        <v>256.88163265306122</v>
      </c>
      <c r="T127" s="1309">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9">
        <f>(L$15+1-$J$15)*$O$2+25</f>
        <v>145.48979591836735</v>
      </c>
      <c r="S128" s="1309">
        <f>(L$15+M$15+1-$J$15)*$O$2+$E$15+D128*$O$3</f>
        <v>292.04489795918369</v>
      </c>
      <c r="T128" s="1309">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9">
        <f>(M$15+1-$J$15)*$O$2+25</f>
        <v>185.65306122448979</v>
      </c>
      <c r="S129" s="1309">
        <f>(M$15+M$15+1-$J$15)*$O$2+$E$16+D129*$O$3</f>
        <v>327.2081632653061</v>
      </c>
      <c r="T129" s="1309">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9">
        <f>(N$15+1-$J$15)*$O$2+25</f>
        <v>225.81632653061223</v>
      </c>
      <c r="S130" s="1309">
        <f>(N$15+M$15+1-$J$15)*$O$2+$E$17+D130*$O$3</f>
        <v>362.37142857142857</v>
      </c>
      <c r="T130" s="1309">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9">
        <f>(J$15+1-$J$15)*$O$2+25</f>
        <v>65.16326530612244</v>
      </c>
      <c r="S131" s="1309">
        <f>(J$15+N$15+1-$J$15)*$O$2+$E$13+D131*$O$3</f>
        <v>261.88163265306122</v>
      </c>
      <c r="T131" s="1309">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9">
        <f>(K$15+1-$J$15)*$O$2+25</f>
        <v>105.32653061224489</v>
      </c>
      <c r="S132" s="1309">
        <f>(K$15+N$15+1-$J$15)*$O$2+$E$14+D132*$O$3</f>
        <v>297.04489795918369</v>
      </c>
      <c r="T132" s="1309">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9">
        <f>(L$15+1-$J$15)*$O$2+25</f>
        <v>145.48979591836735</v>
      </c>
      <c r="S133" s="1309">
        <f>(L$15+N$15+1-$J$15)*$O$2+$E$15+D133*$O$3</f>
        <v>332.2081632653061</v>
      </c>
      <c r="T133" s="1309">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9">
        <f>(M$15+1-$J$15)*$O$2+25</f>
        <v>185.65306122448979</v>
      </c>
      <c r="S134" s="1309">
        <f>(M$15+N$15+1-$J$15)*$O$2+$E$16+D134*$O$3</f>
        <v>367.37142857142857</v>
      </c>
      <c r="T134" s="1309">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9">
        <f>(N$15+1-$J$15)*$O$2+25</f>
        <v>225.81632653061223</v>
      </c>
      <c r="S135" s="1309">
        <f>(N$15+N$15+1-$J$15)*$O$2+$E$17+D135*$O$3</f>
        <v>402.53469387755104</v>
      </c>
      <c r="T135" s="1309">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9">
        <f>(J$15+N$15+1-$J$15)*$O$2+$E$45+25</f>
        <v>241.88163265306122</v>
      </c>
      <c r="S136" s="1309">
        <f>(L$15+J$15+N$15+1-$J$15)*$O$2+$E$45+$E$13+$O$3</f>
        <v>358.27346938775503</v>
      </c>
      <c r="T136" s="1309">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9">
        <f>(K$15+N$15+1-$J$15)*$O$2+$E$45+25</f>
        <v>282.04489795918369</v>
      </c>
      <c r="S137" s="1309">
        <f>(L$15+K$15+N$15+1-$J$15)*$O$2+$E$45+$E$14+$O$3</f>
        <v>393.4367346938775</v>
      </c>
      <c r="T137" s="1309">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9">
        <f>(L$15+N$15+1-$J$15)*$O$2+$E$45+25</f>
        <v>322.2081632653061</v>
      </c>
      <c r="S138" s="1309">
        <f>(L$15+L$15+N$15+1-$J$15)*$O$2+$E$45+$E$15+$O$3</f>
        <v>428.59999999999997</v>
      </c>
      <c r="T138" s="1309">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9">
        <f>(M$15+N$15+1-$J$15)*$O$2+$E$45+25</f>
        <v>362.37142857142857</v>
      </c>
      <c r="S139" s="1309">
        <f>(L$15+M$15+N$15+1-$J$15)*$O$2+$E$45+$E$16+$O$3</f>
        <v>463.76326530612238</v>
      </c>
      <c r="T139" s="1309">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9">
        <f>(N$15+N$15+1-$J$15)*$O$2+$E$45+25</f>
        <v>402.53469387755104</v>
      </c>
      <c r="S140" s="1309">
        <f>(L$15+N$15+N$15+1-$J$15)*$O$2+$E$45+$E$17+$O$3</f>
        <v>498.9265306122449</v>
      </c>
      <c r="T140" s="1309">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9">
        <f>(J$15+N$15+1-$J$15)*$O$2+$E$45+25</f>
        <v>241.88163265306122</v>
      </c>
      <c r="S141" s="1309">
        <f>(M$15+J$15+N$15+1-$J$15)*$O$2+$E$45+$E$13+$O$3</f>
        <v>398.4367346938775</v>
      </c>
      <c r="T141" s="1309">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9">
        <f>(K$15+N$15+1-$J$15)*$O$2+$E$45+25</f>
        <v>282.04489795918369</v>
      </c>
      <c r="S142" s="1309">
        <f>(M$15+K$15+N$15+1-$J$15)*$O$2+$E$45+$E$14+$O$3</f>
        <v>433.59999999999997</v>
      </c>
      <c r="T142" s="1309">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9">
        <f>(L$15+N$15+1-$J$15)*$O$2+$E$45+25</f>
        <v>322.2081632653061</v>
      </c>
      <c r="S143" s="1309">
        <f>(M$15+L$15+N$15+1-$J$15)*$O$2+$E$45+$E$15+$O$3</f>
        <v>468.76326530612238</v>
      </c>
      <c r="T143" s="1309">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9">
        <f>(M$15+N$15+1-$J$15)*$O$2+$E$45+25</f>
        <v>362.37142857142857</v>
      </c>
      <c r="S144" s="1309">
        <f>(M$15+M$15+N$15+1-$J$15)*$O$2+$E$45+$E$16+$O$3</f>
        <v>503.92653061224485</v>
      </c>
      <c r="T144" s="1309">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9">
        <f>(N$15+N$15+1-$J$15)*$O$2+$E$45+25</f>
        <v>402.53469387755104</v>
      </c>
      <c r="S145" s="1309">
        <f>(M$15+N$15+N$15+1-$J$15)*$O$2+$E$45+$E$17+$O$3</f>
        <v>539.08979591836737</v>
      </c>
      <c r="T145" s="1309">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9">
        <f>(J$15+N$15+1-$J$15)*$O$2+$E$45+25</f>
        <v>241.88163265306122</v>
      </c>
      <c r="S146" s="1309">
        <f>(N$15+J$15+N$15+1-$J$15)*$O$2+$E$45+$E$13+$O$3</f>
        <v>438.6</v>
      </c>
      <c r="T146" s="1309">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9">
        <f>(K$15+N$15+1-$J$15)*$O$2+$E$45+25</f>
        <v>282.04489795918369</v>
      </c>
      <c r="S147" s="1309">
        <f>(N$15+K$15+N$15+1-$J$15)*$O$2+$E$45+$E$14+$O$3</f>
        <v>473.76326530612243</v>
      </c>
      <c r="T147" s="1309">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9">
        <f>(L$15+N$15+1-$J$15)*$O$2+$E$45+25</f>
        <v>322.2081632653061</v>
      </c>
      <c r="S148" s="1309">
        <f>(N$15+L$15+N$15+1-$J$15)*$O$2+$E$45+$E$15+$O$3</f>
        <v>508.9265306122449</v>
      </c>
      <c r="T148" s="1309">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9">
        <f>(M$15+N$15+1-$J$15)*$O$2+$E$45+25</f>
        <v>362.37142857142857</v>
      </c>
      <c r="S149" s="1309">
        <f>(N$15+M$15+N$15+1-$J$15)*$O$2+$E$45+$E$16+$O$3</f>
        <v>544.08979591836737</v>
      </c>
      <c r="T149" s="1309">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9">
        <f>(N$15+N$15+1-$J$15)*$O$2+$E$45+25</f>
        <v>402.53469387755104</v>
      </c>
      <c r="S150" s="1309">
        <f>(N$15+N$15+N$15+1-$J$15)*$O$2+$E$45+$E$17+$O$3</f>
        <v>579.25306122448978</v>
      </c>
      <c r="T150" s="1309">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9">
        <f>(K$15+1-$J$15)*$O$2+25</f>
        <v>105.32653061224489</v>
      </c>
      <c r="S235" s="1309">
        <v>0</v>
      </c>
      <c r="T235" s="1309">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9">
        <f>(L$15+1-$J$15)*$O$2+25</f>
        <v>145.48979591836735</v>
      </c>
      <c r="S236" s="1309">
        <v>0</v>
      </c>
      <c r="T236" s="1309">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9">
        <f>(M$15+1-$J$15)*$O$2+25</f>
        <v>185.65306122448979</v>
      </c>
      <c r="S237" s="1309">
        <v>0</v>
      </c>
      <c r="T237" s="1309">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9">
        <f>(N$15+1-$J$15)*$O$2+25</f>
        <v>225.81632653061223</v>
      </c>
      <c r="S238" s="1309">
        <v>0</v>
      </c>
      <c r="T238" s="1309">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9">
        <v>0</v>
      </c>
      <c r="S239" s="1309">
        <v>0</v>
      </c>
      <c r="T239" s="1309">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9">
        <v>0</v>
      </c>
      <c r="S240" s="1309">
        <v>0</v>
      </c>
      <c r="T240" s="1309">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9">
        <v>0</v>
      </c>
      <c r="S241" s="1309">
        <v>0</v>
      </c>
      <c r="T241" s="1309">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9">
        <v>0</v>
      </c>
      <c r="S242" s="1309">
        <v>0</v>
      </c>
      <c r="T242" s="1309">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9">
        <v>0</v>
      </c>
      <c r="S243" s="1309">
        <v>0</v>
      </c>
      <c r="T243" s="1309">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9">
        <f>(J$15+1-$J$15)*$O$2+25</f>
        <v>65.16326530612244</v>
      </c>
      <c r="S244" s="1309">
        <v>0</v>
      </c>
      <c r="T244" s="1309">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9">
        <f>(K$15+1-$J$15)*$O$2+25</f>
        <v>105.32653061224489</v>
      </c>
      <c r="S245" s="1309">
        <v>0</v>
      </c>
      <c r="T245" s="1309">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9">
        <f>(L$15+1-$J$15)*$O$2+25</f>
        <v>145.48979591836735</v>
      </c>
      <c r="S246" s="1309">
        <v>0</v>
      </c>
      <c r="T246" s="1309">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9">
        <f>(M$15+1-$J$15)*$O$2+25</f>
        <v>185.65306122448979</v>
      </c>
      <c r="S247" s="1309">
        <v>0</v>
      </c>
      <c r="T247" s="1309">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9">
        <f>(N$15+1-$J$15)*$O$2+25</f>
        <v>225.81632653061223</v>
      </c>
      <c r="S248" s="1309">
        <v>0</v>
      </c>
      <c r="T248" s="1309">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9">
        <f>(J$15+1-$J$15)*$O$2+25</f>
        <v>65.16326530612244</v>
      </c>
      <c r="S249" s="1309">
        <v>0</v>
      </c>
      <c r="T249" s="1309">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9">
        <f>(K$15+1-$J$15)*$O$2+25</f>
        <v>105.32653061224489</v>
      </c>
      <c r="S250" s="1309">
        <v>0</v>
      </c>
      <c r="T250" s="1309">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9">
        <f>(L$15+1-$J$15)*$O$2+25</f>
        <v>145.48979591836735</v>
      </c>
      <c r="S251" s="1309">
        <v>0</v>
      </c>
      <c r="T251" s="1309">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9">
        <f>(M$15+1-$J$15)*$O$2+25</f>
        <v>185.65306122448979</v>
      </c>
      <c r="S252" s="1309">
        <v>0</v>
      </c>
      <c r="T252" s="1309">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9">
        <f>(N$15+1-$J$15)*$O$2+25</f>
        <v>225.81632653061223</v>
      </c>
      <c r="S253" s="1309">
        <v>0</v>
      </c>
      <c r="T253" s="1309">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9">
        <f>(J$15+1-$J$15)*$O$2+25</f>
        <v>65.16326530612244</v>
      </c>
      <c r="S254" s="1309">
        <v>0</v>
      </c>
      <c r="T254" s="1309">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9">
        <f>(K$15+1-$J$15)*$O$2+25</f>
        <v>105.32653061224489</v>
      </c>
      <c r="S255" s="1309">
        <v>0</v>
      </c>
      <c r="T255" s="1309">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9">
        <f>(L$15+1-$J$15)*$O$2+25</f>
        <v>145.48979591836735</v>
      </c>
      <c r="S256" s="1309">
        <v>0</v>
      </c>
      <c r="T256" s="1309">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9">
        <f>(M$15+1-$J$15)*$O$2+25</f>
        <v>185.65306122448979</v>
      </c>
      <c r="S257" s="1309">
        <v>0</v>
      </c>
      <c r="T257" s="1309">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9">
        <f>(N$15+1-$J$15)*$O$2+25</f>
        <v>225.81632653061223</v>
      </c>
      <c r="S258" s="1309">
        <v>0</v>
      </c>
      <c r="T258" s="1309">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9">
        <f>(J$15+1-$J$15)*$O$2+25</f>
        <v>65.16326530612244</v>
      </c>
      <c r="S259" s="1309">
        <v>0</v>
      </c>
      <c r="T259" s="1309">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9">
        <f>(K$15+1-$J$15)*$O$2+25</f>
        <v>105.32653061224489</v>
      </c>
      <c r="S260" s="1309">
        <v>0</v>
      </c>
      <c r="T260" s="1309">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9">
        <f>(J$15+1-$J$15)*$O$2+25</f>
        <v>65.16326530612244</v>
      </c>
      <c r="S261" s="1309">
        <v>0</v>
      </c>
      <c r="T261" s="1309">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9">
        <f>(K$15+1-$J$15)*$O$2+25</f>
        <v>105.32653061224489</v>
      </c>
      <c r="S262" s="1309">
        <v>0</v>
      </c>
      <c r="T262" s="1309">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9">
        <f>(J$15+1-$J$15)*$O$2+25</f>
        <v>65.16326530612244</v>
      </c>
      <c r="S263" s="1309">
        <v>0</v>
      </c>
      <c r="T263" s="1309">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9">
        <f>(K$15+1-$J$15)*$O$2+25</f>
        <v>105.32653061224489</v>
      </c>
      <c r="S264" s="1309">
        <v>0</v>
      </c>
      <c r="T264" s="1309">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9">
        <f>(J$15+1-$J$15)*$O$2+25</f>
        <v>65.16326530612244</v>
      </c>
      <c r="S265" s="1309">
        <v>0</v>
      </c>
      <c r="T265" s="1309">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9">
        <f>(K$15+1-$J$15)*$O$2+25</f>
        <v>105.32653061224489</v>
      </c>
      <c r="S266" s="1309">
        <v>0</v>
      </c>
      <c r="T266" s="1309">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9">
        <f>(L$15+1-$J$15)*$O$2+25</f>
        <v>145.48979591836735</v>
      </c>
      <c r="S267" s="1309">
        <v>0</v>
      </c>
      <c r="T267" s="1309">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9">
        <f>(J$15+1-$J$15)*$O$2+25</f>
        <v>65.16326530612244</v>
      </c>
      <c r="S268" s="1309">
        <v>0</v>
      </c>
      <c r="T268" s="1309">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9">
        <f>(K$15+1-$J$15)*$O$2+25</f>
        <v>105.32653061224489</v>
      </c>
      <c r="S269" s="1309">
        <v>0</v>
      </c>
      <c r="T269" s="1309">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9">
        <f>(L$15+1-$J$15)*$O$2+25</f>
        <v>145.48979591836735</v>
      </c>
      <c r="S270" s="1309">
        <v>0</v>
      </c>
      <c r="T270" s="1309">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9">
        <f>(J$15+1-$J$15)*$O$2+25</f>
        <v>65.16326530612244</v>
      </c>
      <c r="S271" s="1309">
        <v>0</v>
      </c>
      <c r="T271" s="1309">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9">
        <f>(K$15+1-$J$15)*$O$2+25</f>
        <v>105.32653061224489</v>
      </c>
      <c r="S272" s="1309">
        <v>0</v>
      </c>
      <c r="T272" s="1309">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9">
        <f>(L$15+1-$J$15)*$O$2+25</f>
        <v>145.48979591836735</v>
      </c>
      <c r="S273" s="1309">
        <v>0</v>
      </c>
      <c r="T273" s="1309">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9">
        <f>(K$15+N$15+1-$J$15)*$O$2+$E$45+25</f>
        <v>282.04489795918369</v>
      </c>
      <c r="S283" s="1309">
        <v>0</v>
      </c>
      <c r="T283" s="1309">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9">
        <f>(L$15+N$15+1-$J$15)*$O$2+$E$45+25</f>
        <v>322.2081632653061</v>
      </c>
      <c r="S284" s="1309">
        <v>0</v>
      </c>
      <c r="T284" s="1309">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4"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4"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4"/>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4"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4"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4"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4"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4"/>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4"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5"/>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798.8839456904077</v>
      </c>
      <c r="C2" s="525">
        <f>bMHdam*bMHgfact</f>
        <v>599.16295926780572</v>
      </c>
      <c r="D2" s="526">
        <f>bMHdam*bMHcfact</f>
        <v>1645.7009281222399</v>
      </c>
      <c r="E2" s="526">
        <f>bMHdam*bMHhit+bMHgdam*bMHglan+bMHcdam*bMHcrit</f>
        <v>921.86363651132888</v>
      </c>
      <c r="F2" s="527">
        <f>1/bMHspd*bHaste</f>
        <v>0.47245947878938588</v>
      </c>
      <c r="G2" s="528">
        <f>bMHasec*bMHthit</f>
        <v>0.46280286797900771</v>
      </c>
      <c r="H2" s="529">
        <f>bMHasec*bMHcrit</f>
        <v>0.10446631487564784</v>
      </c>
      <c r="I2" s="530">
        <f>bMHadam*bMHasec*bGlobDam</f>
        <v>462.02424058486895</v>
      </c>
      <c r="J2" s="531">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7"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8">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798.8839456904077</v>
      </c>
      <c r="C4" s="534">
        <f>bMHgdam</f>
        <v>599.16295926780572</v>
      </c>
      <c r="D4" s="535">
        <f>bMHcdam</f>
        <v>1645.7009281222399</v>
      </c>
      <c r="E4" s="535">
        <f>(B2*B22*Q10+B2*B23*cfact+B2*B24)</f>
        <v>921.86363651132888</v>
      </c>
      <c r="F4" s="536">
        <f>bExAtt</f>
        <v>0.32133894904104937</v>
      </c>
      <c r="G4" s="537">
        <f>F4*bMHhit</f>
        <v>0.16659794784524692</v>
      </c>
      <c r="H4" s="538">
        <f>F4*bMHcrit</f>
        <v>7.1051798808965227E-2</v>
      </c>
      <c r="I4" s="539">
        <f>E4*F4*bGlobDam</f>
        <v>314.24151819634557</v>
      </c>
      <c r="J4" s="540">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3" t="s">
        <v>1438</v>
      </c>
      <c r="B5" s="524">
        <f>(bOHavg+bAP/APtoDPS*bOHspd)*bOHdamfac</f>
        <v>312.78967037497233</v>
      </c>
      <c r="C5" s="525">
        <f>bOHdam*bOHgfact</f>
        <v>234.59225278122926</v>
      </c>
      <c r="D5" s="526">
        <f>bOHdam*bOHcfact</f>
        <v>644.34672097244299</v>
      </c>
      <c r="E5" s="526">
        <f>bOHdam*bOHhit+bOHgdam*bOHglan+bOHcdam*bOHcrit</f>
        <v>360.94031498637253</v>
      </c>
      <c r="F5" s="527">
        <f>1/bOHspd*bHaste</f>
        <v>0.87742474632314538</v>
      </c>
      <c r="G5" s="528">
        <f>bOHasec*bOHthit</f>
        <v>0.85949104053244307</v>
      </c>
      <c r="H5" s="529">
        <f>bOHasec*bOHcrit</f>
        <v>0.19400887048334603</v>
      </c>
      <c r="I5" s="530">
        <f>bOHadam*bOHasec*bGlobDam</f>
        <v>335.95320054504873</v>
      </c>
      <c r="J5" s="531">
        <f t="shared" si="0"/>
        <v>249.20610678056366</v>
      </c>
      <c r="K5" s="109"/>
      <c r="O5" s="66" t="s">
        <v>1180</v>
      </c>
      <c r="Q5" s="68">
        <f>BaseGlanPerc</f>
        <v>0.24</v>
      </c>
      <c r="T5" s="27" t="s">
        <v>3090</v>
      </c>
      <c r="U5" s="107">
        <f>10*conv</f>
        <v>15.769230769230768</v>
      </c>
    </row>
    <row r="6" spans="1:21">
      <c r="A6" s="507"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10">
        <f t="shared" si="0"/>
        <v>74.512625927388541</v>
      </c>
      <c r="K6" s="109"/>
      <c r="L6" s="67" t="s">
        <v>1182</v>
      </c>
      <c r="O6" s="66" t="s">
        <v>1181</v>
      </c>
      <c r="Q6" s="69">
        <f>OHDamFact</f>
        <v>0.75</v>
      </c>
      <c r="T6" s="27" t="s">
        <v>3091</v>
      </c>
      <c r="U6" s="105">
        <f>12*conv</f>
        <v>18.923076923076923</v>
      </c>
    </row>
    <row r="7" spans="1:21" ht="13.5" thickBot="1">
      <c r="A7" s="541" t="s">
        <v>1199</v>
      </c>
      <c r="B7" s="533">
        <f>bOHdam</f>
        <v>312.78967037497233</v>
      </c>
      <c r="C7" s="542">
        <f>bOHgdam</f>
        <v>234.59225278122926</v>
      </c>
      <c r="D7" s="543">
        <f>bOHcdam</f>
        <v>644.34672097244299</v>
      </c>
      <c r="E7" s="543">
        <f>bOHadam</f>
        <v>360.94031498637253</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0"/>
      <c r="D8" s="571">
        <f>B8*(1+((leth*0.06+2)-1)*(cfact-1))</f>
        <v>2349.2928798536086</v>
      </c>
      <c r="E8" s="571">
        <f>avginst*fwfactor</f>
        <v>1288.9417237527728</v>
      </c>
      <c r="F8" s="572"/>
      <c r="G8" s="573"/>
      <c r="H8" s="574"/>
      <c r="I8" s="575">
        <f>Q17*E8*bGlobDam*(1+DDmult)*IF(Talents!$O$27="Instants",1+Talents!I37*20%/(30*instsec),1)</f>
        <v>422.31929549312446</v>
      </c>
      <c r="J8" s="576">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1459.2710844590233</v>
      </c>
      <c r="F10" s="560"/>
      <c r="G10" s="561"/>
      <c r="H10" s="562"/>
      <c r="I10" s="555">
        <f>E10*evisec/armor*bGlobDam*(1+DDmult)*(IF(AND(NOT(IF(Talents!$O$27="Instants",1,0)),Q18&gt;0),1+Talents!I37*20%/(30*Q18),1))</f>
        <v>4.928344503418173</v>
      </c>
      <c r="J10" s="556">
        <f t="shared" si="1"/>
        <v>3.6557876054689742</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1759.7269451999114</v>
      </c>
      <c r="F11" s="560"/>
      <c r="G11" s="561"/>
      <c r="H11" s="562"/>
      <c r="I11" s="555">
        <f>E11*rupsec*bGlobDam*(1+DDmult)*(IF(AND(NOT(IF(Talents!$O$27="Instants",1,0)),Q18&gt;0),1+Talents!I37*20%/(30*Q18),1))</f>
        <v>115.52681337841148</v>
      </c>
      <c r="J11" s="556">
        <f>I11</f>
        <v>115.52681337841148</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27.290231355562383</v>
      </c>
      <c r="J13" s="567">
        <f>I13</f>
        <v>27.290231355562383</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79.110112401040908</v>
      </c>
      <c r="J14" s="508">
        <f>I14</f>
        <v>79.110112401040908</v>
      </c>
      <c r="L14" s="66" t="s">
        <v>1201</v>
      </c>
      <c r="M14" s="66">
        <f>ohspd</f>
        <v>1.4</v>
      </c>
      <c r="O14" s="76" t="s">
        <v>1202</v>
      </c>
      <c r="Q14" s="77">
        <f>bMHhsec+G3</f>
        <v>0.60118092550473101</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4">
        <f>SUM(I2:I15)</f>
        <v>1999.989011355666</v>
      </c>
      <c r="J16" s="1315">
        <f>SUM(J2:J15)</f>
        <v>1555.182530256119</v>
      </c>
      <c r="O16" s="76" t="s">
        <v>1204</v>
      </c>
      <c r="Q16" s="77">
        <f>bOHhsec+G6+G7</f>
        <v>1.1164788616516437</v>
      </c>
      <c r="T16" s="15" t="s">
        <v>3110</v>
      </c>
      <c r="U16" s="651">
        <f>IF(numPhysDps=0,0,10/35*10/(2*numPhysDps))</f>
        <v>0.14285714285714285</v>
      </c>
    </row>
    <row r="17" spans="1:21">
      <c r="O17" s="76" t="s">
        <v>2250</v>
      </c>
      <c r="Q17" s="80">
        <f>instsec</f>
        <v>0.30886886428081306</v>
      </c>
      <c r="R17" s="651">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51">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0.49458936445297341</v>
      </c>
    </row>
    <row r="32" spans="1:21">
      <c r="J32"/>
      <c r="K32" s="897"/>
      <c r="Q32" s="68"/>
      <c r="R32" s="85"/>
    </row>
    <row r="33" spans="1:18">
      <c r="A33" s="355" t="s">
        <v>432</v>
      </c>
      <c r="B33" s="355"/>
      <c r="J33"/>
      <c r="K33" s="897"/>
      <c r="O33" s="66" t="s">
        <v>2252</v>
      </c>
      <c r="Q33" s="73">
        <f>'Weap Enchants'!W22</f>
        <v>27.290231355562383</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3">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51"/>
    </row>
    <row r="54" spans="1:21">
      <c r="A54" s="385">
        <f>$B$42*bMHthit*$C$47/(1-$C$44*$C$47*$C$45*bMHthit^3)</f>
        <v>6.4245866377930123E-3</v>
      </c>
      <c r="B54" s="386">
        <f>$B$44*bMHthit*$C$47/(1-$C$42*$C$47*$C$45*bMHthit^3)</f>
        <v>5.5679750860872772E-3</v>
      </c>
      <c r="C54" s="386">
        <f>$B$47*bMHthit*$C$44/(1-$C$42*$C$44*$C$45*bMHthit^3)</f>
        <v>8.6708295855188987E-3</v>
      </c>
      <c r="D54" s="894">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4">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4">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4">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4">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7">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92">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7">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8"/>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11">
        <f t="shared" si="329"/>
        <v>0</v>
      </c>
      <c r="AC602" s="25">
        <f t="shared" si="339"/>
        <v>0</v>
      </c>
      <c r="AD602" s="1311">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82" workbookViewId="0">
      <selection activeCell="A114" sqref="A11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24" sqref="A2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1" t="str">
        <f t="shared" si="0"/>
        <v>Malefic Mask of the Shadows</v>
      </c>
    </row>
    <row r="16" spans="1:30">
      <c r="A16" s="682" t="s">
        <v>1074</v>
      </c>
      <c r="B16" s="677">
        <v>32087</v>
      </c>
      <c r="C16" s="677">
        <v>3</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7" sqref="A7"/>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-77.391299250401289</v>
      </c>
      <c r="V14" s="890">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-358.28304712042586</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-366.7504463594571</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-321.48789019583114</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-342.56052598279871</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0.33374978855287174</v>
      </c>
      <c r="AH5" s="853">
        <f>IF(AI5*AG5&gt;0, AI5*AG5, 1)</f>
        <v>22.60196166079864</v>
      </c>
      <c r="AI5" s="853">
        <f>Optimize!C55</f>
        <v>67.721276345372416</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-381.15216877515627</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-381.15216877515627</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1.3273184182075968</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-348.99246644819164</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1.2710807867059044</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-125.23218030867787</v>
      </c>
      <c r="Y9" s="890">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1.2710807867059044</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-363.32146483190968</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1.2710807867059044</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-355.42440691358456</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1.2710807867059044</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-362.57100743068781</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1.2710807867059044</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-381.15216877515627</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22.317277651175992</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-338.83703311189242</v>
      </c>
      <c r="Y14" s="890">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29.999999979540959</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-381.15216877515627</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152.96987757420888</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5.0989959210141285</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-250.14105798472406</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-351.13644660332261</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-361.85634737897749</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-352.56576670674326</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-374.00556825805302</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-343.55148433409096</v>
      </c>
      <c r="Y22" s="890">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-214.65122476134161</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0.77888830774793893</v>
      </c>
      <c r="AH23" s="1317">
        <f t="shared" si="2"/>
        <v>0.60666699594644802</v>
      </c>
      <c r="AI23" s="1317">
        <f t="shared" si="2"/>
        <v>0.47252582983925462</v>
      </c>
      <c r="AJ23" s="1317">
        <f t="shared" si="2"/>
        <v>0.3680448439706876</v>
      </c>
      <c r="AK23" s="1317">
        <f t="shared" si="2"/>
        <v>0.28666582569568311</v>
      </c>
      <c r="AL23" s="1317">
        <f t="shared" si="2"/>
        <v>0.22328065986527623</v>
      </c>
      <c r="AM23" s="1317">
        <f t="shared" si="2"/>
        <v>0.17391069531530814</v>
      </c>
      <c r="AN23" s="1317">
        <f t="shared" si="2"/>
        <v>0.13545700717340778</v>
      </c>
      <c r="AO23" s="1317">
        <f t="shared" si="2"/>
        <v>0.105505879089896</v>
      </c>
      <c r="AP23" s="1317">
        <f t="shared" si="2"/>
        <v>8.2177295621787758E-2</v>
      </c>
      <c r="AQ23" s="1317">
        <f t="shared" si="2"/>
        <v>6.4006934722156378E-2</v>
      </c>
      <c r="AR23" s="1317">
        <f t="shared" si="2"/>
        <v>4.9854253069873178E-2</v>
      </c>
      <c r="AS23" s="1317">
        <f t="shared" si="2"/>
        <v>3.8830894807631008E-2</v>
      </c>
      <c r="AT23" s="1317">
        <f t="shared" si="2"/>
        <v>3.0244929945053945E-2</v>
      </c>
      <c r="AU23" s="1317">
        <f t="shared" si="2"/>
        <v>2.3557422302858028E-2</v>
      </c>
      <c r="AV23" s="1317">
        <f t="shared" si="2"/>
        <v>1.8348600792376647E-2</v>
      </c>
      <c r="AW23" s="1317">
        <f t="shared" si="2"/>
        <v>1.4291510620716737E-2</v>
      </c>
      <c r="AX23" s="1317">
        <f t="shared" si="2"/>
        <v>1.1131490522531757E-2</v>
      </c>
      <c r="AY23" s="1317">
        <f t="shared" si="2"/>
        <v>8.6701878158069803E-3</v>
      </c>
      <c r="AZ23" s="1317">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-381.15216877515627</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0.22111169225206101</v>
      </c>
      <c r="AG24" s="1317">
        <f t="shared" ref="AG24:AZ24" si="3">AF24+17/crrate/100</f>
        <v>0.22881204068411676</v>
      </c>
      <c r="AH24" s="1317">
        <f t="shared" si="3"/>
        <v>0.23651238911617251</v>
      </c>
      <c r="AI24" s="1317">
        <f t="shared" si="3"/>
        <v>0.24421273754822825</v>
      </c>
      <c r="AJ24" s="1317">
        <f t="shared" si="3"/>
        <v>0.251913085980284</v>
      </c>
      <c r="AK24" s="1317">
        <f t="shared" si="3"/>
        <v>0.25961343441233975</v>
      </c>
      <c r="AL24" s="1317">
        <f t="shared" si="3"/>
        <v>0.2673137828443955</v>
      </c>
      <c r="AM24" s="1317">
        <f t="shared" si="3"/>
        <v>0.27501413127645125</v>
      </c>
      <c r="AN24" s="1317">
        <f t="shared" si="3"/>
        <v>0.28271447970850699</v>
      </c>
      <c r="AO24" s="1317">
        <f t="shared" si="3"/>
        <v>0.29041482814056274</v>
      </c>
      <c r="AP24" s="1317">
        <f t="shared" si="3"/>
        <v>0.29811517657261849</v>
      </c>
      <c r="AQ24" s="1317">
        <f t="shared" si="3"/>
        <v>0.30581552500467424</v>
      </c>
      <c r="AR24" s="1317">
        <f t="shared" si="3"/>
        <v>0.31351587343672999</v>
      </c>
      <c r="AS24" s="1317">
        <f t="shared" si="3"/>
        <v>0.32121622186878573</v>
      </c>
      <c r="AT24" s="1317">
        <f t="shared" si="3"/>
        <v>0.32891657030084148</v>
      </c>
      <c r="AU24" s="1317">
        <f t="shared" si="3"/>
        <v>0.33661691873289723</v>
      </c>
      <c r="AV24" s="1317">
        <f t="shared" si="3"/>
        <v>0.34431726716495298</v>
      </c>
      <c r="AW24" s="1317">
        <f t="shared" si="3"/>
        <v>0.35201761559700873</v>
      </c>
      <c r="AX24" s="1317">
        <f t="shared" si="3"/>
        <v>0.35971796402906447</v>
      </c>
      <c r="AY24" s="1317">
        <f t="shared" si="3"/>
        <v>0.36741831246112022</v>
      </c>
      <c r="AZ24" s="1317">
        <f t="shared" si="3"/>
        <v>0.37511866089317597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-316.05070582675194</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0.77888830774793893</v>
      </c>
      <c r="AG25" s="1318">
        <f t="shared" ref="AG25:AZ25" si="4">AF25*(1-AG24)</f>
        <v>0.60066928458713464</v>
      </c>
      <c r="AH25" s="1318">
        <f t="shared" si="4"/>
        <v>0.4586035570207293</v>
      </c>
      <c r="AI25" s="1318">
        <f t="shared" si="4"/>
        <v>0.34660672691134203</v>
      </c>
      <c r="AJ25" s="1318">
        <f t="shared" si="4"/>
        <v>0.2592919567135803</v>
      </c>
      <c r="AK25" s="1318">
        <f t="shared" si="4"/>
        <v>0.19197628131567199</v>
      </c>
      <c r="AL25" s="1318">
        <f t="shared" si="4"/>
        <v>0.14065837534077988</v>
      </c>
      <c r="AM25" s="1318">
        <f t="shared" si="4"/>
        <v>0.10197533443967829</v>
      </c>
      <c r="AN25" s="1318">
        <f t="shared" si="4"/>
        <v>7.3145430820463639E-2</v>
      </c>
      <c r="AO25" s="1318">
        <f t="shared" si="4"/>
        <v>5.1902913099471273E-2</v>
      </c>
      <c r="AP25" s="1318">
        <f t="shared" si="4"/>
        <v>3.6429866996189122E-2</v>
      </c>
      <c r="AQ25" s="1318">
        <f t="shared" si="4"/>
        <v>2.528904809489909E-2</v>
      </c>
      <c r="AR25" s="1318">
        <f t="shared" si="4"/>
        <v>1.7360530093043329E-2</v>
      </c>
      <c r="AS25" s="1318">
        <f t="shared" si="4"/>
        <v>1.1784046206916591E-2</v>
      </c>
      <c r="AT25" s="1318">
        <f t="shared" si="4"/>
        <v>7.9080781442709466E-3</v>
      </c>
      <c r="AU25" s="1318">
        <f t="shared" si="4"/>
        <v>5.2460852462474922E-3</v>
      </c>
      <c r="AV25" s="1318">
        <f t="shared" si="4"/>
        <v>3.4397675109451762E-3</v>
      </c>
      <c r="AW25" s="1318">
        <f t="shared" si="4"/>
        <v>2.2289087535341976E-3</v>
      </c>
      <c r="AX25" s="1318">
        <f t="shared" si="4"/>
        <v>1.4271302347063164E-3</v>
      </c>
      <c r="AY25" s="1318">
        <f t="shared" si="4"/>
        <v>9.0277645220827917E-4</v>
      </c>
      <c r="AZ25" s="1318">
        <f t="shared" si="4"/>
        <v>5.6412815837001719E-4</v>
      </c>
      <c r="BA25" s="1318"/>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-219.55904441595072</v>
      </c>
      <c r="Y26" s="890">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0.17821902316080426</v>
      </c>
      <c r="AH26" s="1318">
        <f t="shared" si="5"/>
        <v>0.14206572756640534</v>
      </c>
      <c r="AI26" s="1318">
        <f t="shared" si="5"/>
        <v>0.1119968301093873</v>
      </c>
      <c r="AJ26" s="1318">
        <f t="shared" si="5"/>
        <v>8.7314770197761724E-2</v>
      </c>
      <c r="AK26" s="1318">
        <f t="shared" si="5"/>
        <v>6.7315675397908309E-2</v>
      </c>
      <c r="AL26" s="1318">
        <f t="shared" si="5"/>
        <v>5.1317905974892122E-2</v>
      </c>
      <c r="AM26" s="1318">
        <f t="shared" si="5"/>
        <v>3.8683040901101591E-2</v>
      </c>
      <c r="AN26" s="1318">
        <f t="shared" si="5"/>
        <v>2.8829903619214645E-2</v>
      </c>
      <c r="AO26" s="1318">
        <f t="shared" si="5"/>
        <v>2.1242517720992369E-2</v>
      </c>
      <c r="AP26" s="1318">
        <f t="shared" si="5"/>
        <v>1.5473046103282153E-2</v>
      </c>
      <c r="AQ26" s="1318">
        <f t="shared" si="5"/>
        <v>1.1140818901290031E-2</v>
      </c>
      <c r="AR26" s="1318">
        <f t="shared" si="5"/>
        <v>7.9285180018557611E-3</v>
      </c>
      <c r="AS26" s="1318">
        <f t="shared" si="5"/>
        <v>5.5764838861267372E-3</v>
      </c>
      <c r="AT26" s="1318">
        <f t="shared" si="5"/>
        <v>3.8759680626456452E-3</v>
      </c>
      <c r="AU26" s="1318">
        <f t="shared" si="5"/>
        <v>2.661992898023454E-3</v>
      </c>
      <c r="AV26" s="1318">
        <f t="shared" si="5"/>
        <v>1.806317735302316E-3</v>
      </c>
      <c r="AW26" s="1318">
        <f t="shared" si="5"/>
        <v>1.2108587574109785E-3</v>
      </c>
      <c r="AX26" s="1318">
        <f t="shared" si="5"/>
        <v>8.0177851882788143E-4</v>
      </c>
      <c r="AY26" s="1318">
        <f t="shared" si="5"/>
        <v>5.2435378249803726E-4</v>
      </c>
      <c r="AZ26" s="1318">
        <f t="shared" si="5"/>
        <v>3.3864829383826198E-4</v>
      </c>
      <c r="BA26" s="1318">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-327.55266489688188</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-364.00032753410846</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52.775681323559951</v>
      </c>
      <c r="AG28" s="1321">
        <f t="shared" ref="AG28:AZ28" si="7">AG27*AG26</f>
        <v>3.0297233937336725</v>
      </c>
      <c r="AH28" s="1321">
        <f t="shared" si="7"/>
        <v>4.8302347372577819</v>
      </c>
      <c r="AI28" s="1321">
        <f t="shared" si="7"/>
        <v>5.7118383355787525</v>
      </c>
      <c r="AJ28" s="1321">
        <f t="shared" si="7"/>
        <v>5.937404373447797</v>
      </c>
      <c r="AK28" s="1321">
        <f t="shared" si="7"/>
        <v>5.7218324088222063</v>
      </c>
      <c r="AL28" s="1321">
        <f t="shared" si="7"/>
        <v>5.2344264094389965</v>
      </c>
      <c r="AM28" s="1321">
        <f t="shared" si="7"/>
        <v>4.6032818672310896</v>
      </c>
      <c r="AN28" s="1321">
        <f t="shared" si="7"/>
        <v>3.920866892213192</v>
      </c>
      <c r="AO28" s="1321">
        <f t="shared" si="7"/>
        <v>3.2501052113118325</v>
      </c>
      <c r="AP28" s="1321">
        <f t="shared" si="7"/>
        <v>2.6304178375579661</v>
      </c>
      <c r="AQ28" s="1321">
        <f t="shared" si="7"/>
        <v>2.0833331345412356</v>
      </c>
      <c r="AR28" s="1321">
        <f t="shared" si="7"/>
        <v>1.6174176723785751</v>
      </c>
      <c r="AS28" s="1321">
        <f t="shared" si="7"/>
        <v>1.232402938834009</v>
      </c>
      <c r="AT28" s="1321">
        <f t="shared" si="7"/>
        <v>0.9224803989096636</v>
      </c>
      <c r="AU28" s="1321">
        <f t="shared" si="7"/>
        <v>0.67880818899598072</v>
      </c>
      <c r="AV28" s="1321">
        <f t="shared" si="7"/>
        <v>0.49131842400222997</v>
      </c>
      <c r="AW28" s="1321">
        <f t="shared" si="7"/>
        <v>0.34993818089177281</v>
      </c>
      <c r="AX28" s="1321">
        <f t="shared" si="7"/>
        <v>0.24534422676133172</v>
      </c>
      <c r="AY28" s="1321">
        <f t="shared" si="7"/>
        <v>0.16936627174686603</v>
      </c>
      <c r="AZ28" s="1321">
        <f t="shared" si="7"/>
        <v>0.11514041990500908</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90">
        <f>($D29*dpsStr+$E29*dpsAgi+$G29*dpsCrit+$H29*dpsHit+$F29*dpsAP+$I29*dpsHaste+$J29*dpsArmor+$K29*dpsExp)+$W29-'Gear &amp; Buffs'!$AF$70</f>
        <v>-173.27749361171183</v>
      </c>
      <c r="Y29" s="890">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-352.2084366808881</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-296.0398184132589</v>
      </c>
      <c r="Y31" s="890">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-358.28304712042586</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-317.50722087336612</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-259.05147649835885</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-280.45142913659242</v>
      </c>
      <c r="Y35" s="890">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-364.00032753410846</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-219.32626321036039</v>
      </c>
      <c r="Y37" s="890">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-381.15216877515627</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-381.15216877515627</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C1" workbookViewId="0">
      <selection activeCell="AX27" sqref="AX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0.77354193647919856</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0.21668945840701978</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27.818134119832962</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14.604520412912304</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6.1046895325973436</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67.753947516836675</v>
      </c>
      <c r="E11" s="21"/>
      <c r="F11" s="21"/>
      <c r="G11" s="21"/>
      <c r="H11" s="21"/>
      <c r="I11" s="21"/>
      <c r="J11" s="789">
        <f>2*hasterate*enMnMHup</f>
        <v>17.807127231989124</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13.397746339819724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1.1164788616516437</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0.22111169225206101</v>
      </c>
      <c r="X16" s="145"/>
      <c r="Y16" s="48"/>
      <c r="Z16" s="48"/>
      <c r="AA16" s="48"/>
      <c r="AB16" s="795" t="s">
        <v>1643</v>
      </c>
      <c r="AC16" s="796">
        <f>IF(AC13*AC15&gt;0,AC13*AC15,1)</f>
        <v>3.336038838615111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38.502009507025427</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0.15313810351325544</v>
      </c>
      <c r="X20" s="1345">
        <f>SUM('Damage Calc'!F5:F7)*bfWFea</f>
        <v>0.17454294295415593</v>
      </c>
      <c r="Y20" s="1345">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77.558933726510688</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123.97430039356702</v>
      </c>
      <c r="X21" s="1345">
        <f>445*(1+15%*bfWFtl)/14*bOHspd*(W17+W18*W19+W16*bOHcfact)*bOHdamfac</f>
        <v>50.066544389709762</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61.0282015398449</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42.780010563361593</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24.535594293692672</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12.973484372392097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6.8110792955058503</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2.8470311455214459</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37.162426636543863</v>
      </c>
      <c r="E43" s="21"/>
      <c r="F43" s="21"/>
      <c r="G43" s="21"/>
      <c r="H43" s="21"/>
      <c r="I43" s="21"/>
      <c r="J43" s="789">
        <f>2*hasterate*enMnOHup</f>
        <v>9.7670480262711425</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33.347044230796655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77.558933726510688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37.052271367551839</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21.250567401978262</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2021-06-10T18:25:49Z</dcterms:modified>
</cp:coreProperties>
</file>